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8" i="1"/>
  <c r="BO37"/>
  <c r="BA37"/>
  <c r="AY37"/>
  <c r="AU37"/>
  <c r="AQ37"/>
  <c r="AO37"/>
  <c r="AK37"/>
  <c r="AJ37"/>
  <c r="AI37"/>
  <c r="AH37"/>
  <c r="AD37"/>
  <c r="X37"/>
  <c r="R37"/>
  <c r="N37"/>
  <c r="H37"/>
  <c r="C37"/>
  <c r="AR36"/>
  <c r="AL36"/>
  <c r="I36"/>
  <c r="F36"/>
  <c r="BK36" s="1"/>
  <c r="AR35"/>
  <c r="AL35"/>
  <c r="V35"/>
  <c r="I35"/>
  <c r="F35"/>
  <c r="BK35" s="1"/>
  <c r="AR34"/>
  <c r="AL34"/>
  <c r="F34"/>
  <c r="BM34" s="1"/>
  <c r="BM37" s="1"/>
  <c r="AR33"/>
  <c r="AL33"/>
  <c r="F33"/>
  <c r="BH33" s="1"/>
  <c r="AR32"/>
  <c r="AL32"/>
  <c r="F32"/>
  <c r="BH32" s="1"/>
  <c r="AR31"/>
  <c r="AL31"/>
  <c r="F31"/>
  <c r="BH31" s="1"/>
  <c r="AR30"/>
  <c r="AL30"/>
  <c r="AL37" s="1"/>
  <c r="I30"/>
  <c r="F30"/>
  <c r="BH30" s="1"/>
  <c r="BH29"/>
  <c r="BX28"/>
  <c r="BT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P28"/>
  <c r="AO28"/>
  <c r="AN28"/>
  <c r="AM28"/>
  <c r="AK28"/>
  <c r="AJ28"/>
  <c r="AI28"/>
  <c r="AG28"/>
  <c r="AF28"/>
  <c r="AE28"/>
  <c r="AD28"/>
  <c r="AB28"/>
  <c r="AA28"/>
  <c r="Z28"/>
  <c r="Y28"/>
  <c r="W28"/>
  <c r="U28"/>
  <c r="S28"/>
  <c r="R28"/>
  <c r="Q28"/>
  <c r="P28"/>
  <c r="O28"/>
  <c r="M28"/>
  <c r="L28"/>
  <c r="K28"/>
  <c r="H28"/>
  <c r="C28"/>
  <c r="BR27"/>
  <c r="BR28" s="1"/>
  <c r="AR27"/>
  <c r="AR28" s="1"/>
  <c r="AL27"/>
  <c r="AL28" s="1"/>
  <c r="X27"/>
  <c r="X28" s="1"/>
  <c r="T27"/>
  <c r="T28" s="1"/>
  <c r="I27"/>
  <c r="I28" s="1"/>
  <c r="F27"/>
  <c r="F28" s="1"/>
  <c r="BT25"/>
  <c r="BQ25"/>
  <c r="BP25"/>
  <c r="BO25"/>
  <c r="BN25"/>
  <c r="BM25"/>
  <c r="BL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Q25"/>
  <c r="AP25"/>
  <c r="AO25"/>
  <c r="AN25"/>
  <c r="AM25"/>
  <c r="AK25"/>
  <c r="AJ25"/>
  <c r="AI25"/>
  <c r="AH25"/>
  <c r="AG25"/>
  <c r="AF25"/>
  <c r="AE25"/>
  <c r="AB25"/>
  <c r="AA25"/>
  <c r="Z25"/>
  <c r="Y25"/>
  <c r="X25"/>
  <c r="W25"/>
  <c r="U25"/>
  <c r="S25"/>
  <c r="R25"/>
  <c r="Q25"/>
  <c r="P25"/>
  <c r="O25"/>
  <c r="N25"/>
  <c r="M25"/>
  <c r="L25"/>
  <c r="K25"/>
  <c r="I25"/>
  <c r="H25"/>
  <c r="C25"/>
  <c r="AR24"/>
  <c r="AR25" s="1"/>
  <c r="AL24"/>
  <c r="AL25" s="1"/>
  <c r="F24"/>
  <c r="F25" s="1"/>
  <c r="BH23"/>
  <c r="BB23"/>
  <c r="BX22"/>
  <c r="BT22"/>
  <c r="BQ22"/>
  <c r="BP22"/>
  <c r="BO22"/>
  <c r="BN22"/>
  <c r="BM22"/>
  <c r="BL22"/>
  <c r="BJ22"/>
  <c r="BI22"/>
  <c r="BG22"/>
  <c r="BF22"/>
  <c r="BE22"/>
  <c r="BD22"/>
  <c r="BC22"/>
  <c r="BB22"/>
  <c r="BA22"/>
  <c r="AZ22"/>
  <c r="AY22"/>
  <c r="AX22"/>
  <c r="AW22"/>
  <c r="AV22"/>
  <c r="AU22"/>
  <c r="AT22"/>
  <c r="AQ22"/>
  <c r="AP22"/>
  <c r="AO22"/>
  <c r="AN22"/>
  <c r="AM22"/>
  <c r="AL22"/>
  <c r="AK22"/>
  <c r="AJ22"/>
  <c r="AI22"/>
  <c r="AH22"/>
  <c r="AG22"/>
  <c r="AF22"/>
  <c r="AE22"/>
  <c r="AB22"/>
  <c r="AA22"/>
  <c r="Z22"/>
  <c r="Y22"/>
  <c r="X22"/>
  <c r="W22"/>
  <c r="U22"/>
  <c r="S22"/>
  <c r="R22"/>
  <c r="Q22"/>
  <c r="P22"/>
  <c r="O22"/>
  <c r="N22"/>
  <c r="M22"/>
  <c r="L22"/>
  <c r="K22"/>
  <c r="H22"/>
  <c r="C22"/>
  <c r="AR21"/>
  <c r="AR22" s="1"/>
  <c r="AL21"/>
  <c r="F21"/>
  <c r="BH21" s="1"/>
  <c r="BX19"/>
  <c r="BT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T19"/>
  <c r="AP19"/>
  <c r="AO19"/>
  <c r="AN19"/>
  <c r="AM19"/>
  <c r="AK19"/>
  <c r="AJ19"/>
  <c r="AI19"/>
  <c r="AH19"/>
  <c r="AG19"/>
  <c r="AF19"/>
  <c r="AE19"/>
  <c r="AC19"/>
  <c r="AC38" s="1"/>
  <c r="AB19"/>
  <c r="AA19"/>
  <c r="Z19"/>
  <c r="Y19"/>
  <c r="X19"/>
  <c r="W19"/>
  <c r="U19"/>
  <c r="S19"/>
  <c r="R19"/>
  <c r="Q19"/>
  <c r="P19"/>
  <c r="O19"/>
  <c r="M19"/>
  <c r="L19"/>
  <c r="K19"/>
  <c r="C19"/>
  <c r="BR18"/>
  <c r="BR19" s="1"/>
  <c r="AR18"/>
  <c r="AR19" s="1"/>
  <c r="AL18"/>
  <c r="AL19" s="1"/>
  <c r="AD18"/>
  <c r="AD19" s="1"/>
  <c r="T18"/>
  <c r="T19" s="1"/>
  <c r="F18"/>
  <c r="F19" s="1"/>
  <c r="BX17"/>
  <c r="BT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T17"/>
  <c r="AP17"/>
  <c r="AO17"/>
  <c r="AN17"/>
  <c r="AM17"/>
  <c r="AL17"/>
  <c r="AK17"/>
  <c r="AJ17"/>
  <c r="AI17"/>
  <c r="AH17"/>
  <c r="AG17"/>
  <c r="AF17"/>
  <c r="AE17"/>
  <c r="AD17"/>
  <c r="AB17"/>
  <c r="AA17"/>
  <c r="Z17"/>
  <c r="Y17"/>
  <c r="W17"/>
  <c r="U17"/>
  <c r="S17"/>
  <c r="R17"/>
  <c r="Q17"/>
  <c r="P17"/>
  <c r="O17"/>
  <c r="M17"/>
  <c r="L17"/>
  <c r="K17"/>
  <c r="H17"/>
  <c r="C17"/>
  <c r="BR16"/>
  <c r="BR17" s="1"/>
  <c r="AU16"/>
  <c r="AU17" s="1"/>
  <c r="AR16"/>
  <c r="AR17" s="1"/>
  <c r="T16"/>
  <c r="T17" s="1"/>
  <c r="N16"/>
  <c r="N17" s="1"/>
  <c r="F16"/>
  <c r="AQ16" s="1"/>
  <c r="AQ17" s="1"/>
  <c r="BZ14"/>
  <c r="BX14"/>
  <c r="BT14"/>
  <c r="BQ14"/>
  <c r="BP14"/>
  <c r="BP38" s="1"/>
  <c r="BO14"/>
  <c r="BN14"/>
  <c r="BM14"/>
  <c r="BL14"/>
  <c r="BL38" s="1"/>
  <c r="BK14"/>
  <c r="BJ14"/>
  <c r="BI14"/>
  <c r="BH14"/>
  <c r="BG14"/>
  <c r="BF14"/>
  <c r="BE14"/>
  <c r="BD14"/>
  <c r="BD38" s="1"/>
  <c r="BC14"/>
  <c r="BB14"/>
  <c r="BA14"/>
  <c r="AZ14"/>
  <c r="AZ38" s="1"/>
  <c r="AY14"/>
  <c r="AX14"/>
  <c r="AW14"/>
  <c r="AV14"/>
  <c r="AV38" s="1"/>
  <c r="AU14"/>
  <c r="AT14"/>
  <c r="AQ14"/>
  <c r="AP14"/>
  <c r="AP38" s="1"/>
  <c r="AO14"/>
  <c r="AN14"/>
  <c r="AM14"/>
  <c r="AL14"/>
  <c r="AK14"/>
  <c r="AJ14"/>
  <c r="AI14"/>
  <c r="AH14"/>
  <c r="AG14"/>
  <c r="AF14"/>
  <c r="AE14"/>
  <c r="AD14"/>
  <c r="AB14"/>
  <c r="AA14"/>
  <c r="Z14"/>
  <c r="Y14"/>
  <c r="Y38" s="1"/>
  <c r="X14"/>
  <c r="W14"/>
  <c r="V14"/>
  <c r="U14"/>
  <c r="U38" s="1"/>
  <c r="T14"/>
  <c r="S14"/>
  <c r="Q14"/>
  <c r="P14"/>
  <c r="P38" s="1"/>
  <c r="O14"/>
  <c r="M14"/>
  <c r="L14"/>
  <c r="K14"/>
  <c r="K38" s="1"/>
  <c r="I14"/>
  <c r="BR13"/>
  <c r="BR14" s="1"/>
  <c r="AR13"/>
  <c r="AR14" s="1"/>
  <c r="AG38" l="1"/>
  <c r="AO38"/>
  <c r="AY38"/>
  <c r="BG38"/>
  <c r="H38"/>
  <c r="M38"/>
  <c r="S38"/>
  <c r="W38"/>
  <c r="AA38"/>
  <c r="AF38"/>
  <c r="AJ38"/>
  <c r="AN38"/>
  <c r="AT38"/>
  <c r="AX38"/>
  <c r="BB38"/>
  <c r="BF38"/>
  <c r="BJ38"/>
  <c r="BN38"/>
  <c r="BT38"/>
  <c r="I16"/>
  <c r="I17" s="1"/>
  <c r="F17"/>
  <c r="I18"/>
  <c r="I19" s="1"/>
  <c r="AQ18"/>
  <c r="AQ19" s="1"/>
  <c r="AD24"/>
  <c r="AD25" s="1"/>
  <c r="AL38"/>
  <c r="O38"/>
  <c r="AB38"/>
  <c r="AK38"/>
  <c r="BC38"/>
  <c r="BO38"/>
  <c r="L38"/>
  <c r="Q38"/>
  <c r="Z38"/>
  <c r="AE38"/>
  <c r="AI38"/>
  <c r="AM38"/>
  <c r="AW38"/>
  <c r="BA38"/>
  <c r="BE38"/>
  <c r="BI38"/>
  <c r="BM38"/>
  <c r="BQ38"/>
  <c r="X16"/>
  <c r="X17" s="1"/>
  <c r="X38" s="1"/>
  <c r="C38"/>
  <c r="T24"/>
  <c r="T25" s="1"/>
  <c r="BK24"/>
  <c r="BK25" s="1"/>
  <c r="AR37"/>
  <c r="AR38" s="1"/>
  <c r="V36"/>
  <c r="BH22"/>
  <c r="V16"/>
  <c r="V17" s="1"/>
  <c r="N18"/>
  <c r="N19" s="1"/>
  <c r="V18"/>
  <c r="V19" s="1"/>
  <c r="AU18"/>
  <c r="AU19" s="1"/>
  <c r="AU38" s="1"/>
  <c r="I21"/>
  <c r="V21"/>
  <c r="V22" s="1"/>
  <c r="BK21"/>
  <c r="BK22" s="1"/>
  <c r="F22"/>
  <c r="V24"/>
  <c r="V25" s="1"/>
  <c r="N27"/>
  <c r="N28" s="1"/>
  <c r="V27"/>
  <c r="V28" s="1"/>
  <c r="AH27"/>
  <c r="AH28" s="1"/>
  <c r="AH38" s="1"/>
  <c r="AQ27"/>
  <c r="AQ28" s="1"/>
  <c r="AS27"/>
  <c r="AS28" s="1"/>
  <c r="T30"/>
  <c r="BK30"/>
  <c r="T31"/>
  <c r="BK31"/>
  <c r="BR31" s="1"/>
  <c r="T32"/>
  <c r="BK32"/>
  <c r="BR32" s="1"/>
  <c r="T33"/>
  <c r="BK33"/>
  <c r="BR33" s="1"/>
  <c r="T34"/>
  <c r="BK34"/>
  <c r="BH35"/>
  <c r="BR35" s="1"/>
  <c r="BH36"/>
  <c r="BR36" s="1"/>
  <c r="F37"/>
  <c r="T21"/>
  <c r="T22" s="1"/>
  <c r="AD21"/>
  <c r="AD22" s="1"/>
  <c r="AD38" s="1"/>
  <c r="V30"/>
  <c r="I31"/>
  <c r="AS31" s="1"/>
  <c r="V31"/>
  <c r="I32"/>
  <c r="AS32" s="1"/>
  <c r="V32"/>
  <c r="I33"/>
  <c r="AS33" s="1"/>
  <c r="V33"/>
  <c r="I34"/>
  <c r="AS34" s="1"/>
  <c r="V34"/>
  <c r="BH34"/>
  <c r="BR34" s="1"/>
  <c r="T35"/>
  <c r="AS35" s="1"/>
  <c r="BS35" s="1"/>
  <c r="T36"/>
  <c r="AS36" s="1"/>
  <c r="BS36" s="1"/>
  <c r="AS18" l="1"/>
  <c r="AS19" s="1"/>
  <c r="AS24"/>
  <c r="AQ38"/>
  <c r="BR24"/>
  <c r="BR25" s="1"/>
  <c r="BU36"/>
  <c r="BV36" s="1"/>
  <c r="BU35"/>
  <c r="BV35" s="1"/>
  <c r="BS18"/>
  <c r="AS25"/>
  <c r="BS34"/>
  <c r="BS32"/>
  <c r="T37"/>
  <c r="T38" s="1"/>
  <c r="BH37"/>
  <c r="BH38" s="1"/>
  <c r="I22"/>
  <c r="AS21"/>
  <c r="BS33"/>
  <c r="BS31"/>
  <c r="BK37"/>
  <c r="BK38" s="1"/>
  <c r="V37"/>
  <c r="V38" s="1"/>
  <c r="AS30"/>
  <c r="BS27"/>
  <c r="AS16"/>
  <c r="I37"/>
  <c r="BR30"/>
  <c r="BR37" s="1"/>
  <c r="BR21"/>
  <c r="BR22" s="1"/>
  <c r="BS24" l="1"/>
  <c r="BU24" s="1"/>
  <c r="BU25" s="1"/>
  <c r="BW36"/>
  <c r="BW35"/>
  <c r="BX35" s="1"/>
  <c r="BS28"/>
  <c r="BU27"/>
  <c r="BU28" s="1"/>
  <c r="BU31"/>
  <c r="BV31" s="1"/>
  <c r="AS22"/>
  <c r="BS21"/>
  <c r="BU32"/>
  <c r="BV32" s="1"/>
  <c r="BU18"/>
  <c r="BU19" s="1"/>
  <c r="BS19"/>
  <c r="BV18"/>
  <c r="BR38"/>
  <c r="AS17"/>
  <c r="D13" s="1"/>
  <c r="F13" s="1"/>
  <c r="BS16"/>
  <c r="AS37"/>
  <c r="BS30"/>
  <c r="BU33"/>
  <c r="BV33" s="1"/>
  <c r="BU34"/>
  <c r="BV34" s="1"/>
  <c r="BS25"/>
  <c r="I38"/>
  <c r="BW33" l="1"/>
  <c r="BW31"/>
  <c r="BW32"/>
  <c r="BX32"/>
  <c r="BY32" s="1"/>
  <c r="BU30"/>
  <c r="BU37" s="1"/>
  <c r="BS37"/>
  <c r="BS17"/>
  <c r="BU16"/>
  <c r="BU17" s="1"/>
  <c r="BU21"/>
  <c r="BU22" s="1"/>
  <c r="BS22"/>
  <c r="BV21"/>
  <c r="BV27"/>
  <c r="BY35"/>
  <c r="BX36"/>
  <c r="BY36" s="1"/>
  <c r="BW34"/>
  <c r="BX34" s="1"/>
  <c r="BY34" s="1"/>
  <c r="N13"/>
  <c r="F14"/>
  <c r="F38" s="1"/>
  <c r="R13"/>
  <c r="R14" s="1"/>
  <c r="R38" s="1"/>
  <c r="BV19"/>
  <c r="BZ18"/>
  <c r="BZ19" s="1"/>
  <c r="BV24"/>
  <c r="BY31" l="1"/>
  <c r="BX31"/>
  <c r="BV30"/>
  <c r="BZ32"/>
  <c r="CA32" s="1"/>
  <c r="BZ34"/>
  <c r="CA34" s="1"/>
  <c r="BZ36"/>
  <c r="CA36"/>
  <c r="BZ31"/>
  <c r="CA31" s="1"/>
  <c r="BY27"/>
  <c r="BZ27" s="1"/>
  <c r="BZ28" s="1"/>
  <c r="BV28"/>
  <c r="BW28" s="1"/>
  <c r="BZ35"/>
  <c r="CA35" s="1"/>
  <c r="BV22"/>
  <c r="BW21"/>
  <c r="BW22" s="1"/>
  <c r="BW30"/>
  <c r="BV37"/>
  <c r="BW37" s="1"/>
  <c r="CA18"/>
  <c r="BV16"/>
  <c r="BX33"/>
  <c r="BY33" s="1"/>
  <c r="BV25"/>
  <c r="BW25" s="1"/>
  <c r="BW24"/>
  <c r="BX24" s="1"/>
  <c r="N14"/>
  <c r="N38" s="1"/>
  <c r="AS13"/>
  <c r="BX25" l="1"/>
  <c r="BY24"/>
  <c r="BZ24" s="1"/>
  <c r="BZ25" s="1"/>
  <c r="BX30"/>
  <c r="BY30" s="1"/>
  <c r="BY21"/>
  <c r="CB35"/>
  <c r="CC35"/>
  <c r="CC32"/>
  <c r="CB32"/>
  <c r="BZ33"/>
  <c r="CA33" s="1"/>
  <c r="CC31"/>
  <c r="CD31" s="1"/>
  <c r="CB31"/>
  <c r="BZ21"/>
  <c r="BZ22" s="1"/>
  <c r="CB36"/>
  <c r="CC36"/>
  <c r="CB34"/>
  <c r="CC34"/>
  <c r="AS14"/>
  <c r="AS38" s="1"/>
  <c r="BS39" s="1"/>
  <c r="BS13"/>
  <c r="BV17"/>
  <c r="BZ16"/>
  <c r="BZ17" s="1"/>
  <c r="CB18"/>
  <c r="CB19" s="1"/>
  <c r="CA19"/>
  <c r="CC18"/>
  <c r="CA24"/>
  <c r="BW38"/>
  <c r="CA27"/>
  <c r="BZ30" l="1"/>
  <c r="BY37"/>
  <c r="BY38" s="1"/>
  <c r="BX37"/>
  <c r="BX38" s="1"/>
  <c r="CC33"/>
  <c r="CB33"/>
  <c r="CC19"/>
  <c r="CD36"/>
  <c r="CE36" s="1"/>
  <c r="BZ37"/>
  <c r="CC27"/>
  <c r="CA28"/>
  <c r="CD27"/>
  <c r="CD28" s="1"/>
  <c r="CB27"/>
  <c r="CB28" s="1"/>
  <c r="CA25"/>
  <c r="CB24"/>
  <c r="CB25" s="1"/>
  <c r="CC24"/>
  <c r="BS14"/>
  <c r="BS38" s="1"/>
  <c r="BU13"/>
  <c r="BU14" s="1"/>
  <c r="BU38" s="1"/>
  <c r="BZ38"/>
  <c r="CA16"/>
  <c r="CD18"/>
  <c r="CD19" s="1"/>
  <c r="CD34"/>
  <c r="CE34" s="1"/>
  <c r="CA21"/>
  <c r="CE31"/>
  <c r="CD32"/>
  <c r="CE32" s="1"/>
  <c r="CD35"/>
  <c r="CE35" s="1"/>
  <c r="CA30"/>
  <c r="BV13" l="1"/>
  <c r="CA37"/>
  <c r="CC30"/>
  <c r="CD30" s="1"/>
  <c r="CB30"/>
  <c r="CB37" s="1"/>
  <c r="CC25"/>
  <c r="CD24"/>
  <c r="CD25" s="1"/>
  <c r="CE18"/>
  <c r="CE19" s="1"/>
  <c r="CA22"/>
  <c r="CB21"/>
  <c r="CB22" s="1"/>
  <c r="CC21"/>
  <c r="CA17"/>
  <c r="CC16"/>
  <c r="CB16"/>
  <c r="CB17" s="1"/>
  <c r="CA13"/>
  <c r="BV14"/>
  <c r="BV38" s="1"/>
  <c r="CE27"/>
  <c r="CE28" s="1"/>
  <c r="CC28"/>
  <c r="BT42"/>
  <c r="CD33"/>
  <c r="CE33" s="1"/>
  <c r="CC17" l="1"/>
  <c r="CC22"/>
  <c r="CD21"/>
  <c r="CD22" s="1"/>
  <c r="CD37"/>
  <c r="BT43"/>
  <c r="BT44" s="1"/>
  <c r="CA14"/>
  <c r="CA38" s="1"/>
  <c r="CC13"/>
  <c r="CD13" s="1"/>
  <c r="CD14" s="1"/>
  <c r="CB13"/>
  <c r="CB14" s="1"/>
  <c r="CC37"/>
  <c r="CE30"/>
  <c r="CE37" s="1"/>
  <c r="CD16"/>
  <c r="CD17" s="1"/>
  <c r="CE24"/>
  <c r="CE25" s="1"/>
  <c r="CD38" l="1"/>
  <c r="CB42"/>
  <c r="CB38"/>
  <c r="BX42" s="1"/>
  <c r="CC14"/>
  <c r="CC38" s="1"/>
  <c r="CE13"/>
  <c r="CE14" s="1"/>
  <c r="CE38" s="1"/>
  <c r="CE21"/>
  <c r="CE22" s="1"/>
  <c r="CE16"/>
  <c r="CE17" s="1"/>
  <c r="BX43" l="1"/>
  <c r="BX44" s="1"/>
  <c r="CB43"/>
  <c r="CB44" s="1"/>
  <c r="CB45" s="1"/>
</calcChain>
</file>

<file path=xl/sharedStrings.xml><?xml version="1.0" encoding="utf-8"?>
<sst xmlns="http://schemas.openxmlformats.org/spreadsheetml/2006/main" count="157" uniqueCount="123">
  <si>
    <t>"СОГЛАСОВАНО"</t>
  </si>
  <si>
    <t xml:space="preserve">Штатное расписание </t>
  </si>
  <si>
    <t>"УТВЕРЖДАЮ"</t>
  </si>
  <si>
    <t>Начальник МКУ "Управление образования"</t>
  </si>
  <si>
    <t>Заведующая МБДОУ "Кэрэчээнэ" с.Сиктях</t>
  </si>
  <si>
    <t>_____________ В.С.Федулова</t>
  </si>
  <si>
    <t>2 группы (1 ясо., 1 дош). - 35 детей (15 ясл., 20 дош).</t>
  </si>
  <si>
    <t>_____________ Г.Д.Потапова</t>
  </si>
  <si>
    <t>с 01 января 2017 г.</t>
  </si>
  <si>
    <t xml:space="preserve"> </t>
  </si>
  <si>
    <t>с 01 сентября 2014 года</t>
  </si>
  <si>
    <t>Фамилия имя отчество</t>
  </si>
  <si>
    <t>Наименование должности</t>
  </si>
  <si>
    <t>Кол-во ставок</t>
  </si>
  <si>
    <r>
      <t xml:space="preserve"> оклад по ПКГ </t>
    </r>
    <r>
      <rPr>
        <sz val="8"/>
        <color indexed="10"/>
        <rFont val="Arial Cyr"/>
        <charset val="204"/>
      </rPr>
      <t>с 01 августа 2014г. на 5,8%</t>
    </r>
  </si>
  <si>
    <t>кратность</t>
  </si>
  <si>
    <t>оклад на шт.ед.</t>
  </si>
  <si>
    <t>повышающие коэффициенты</t>
  </si>
  <si>
    <t>надбавка за педагогический стаж работы педагогическим работникам</t>
  </si>
  <si>
    <t>выплаты компенсационного характера</t>
  </si>
  <si>
    <t>ФОТ с учетом ПК и ВКХ</t>
  </si>
  <si>
    <t>районный к-т, северная надбавка</t>
  </si>
  <si>
    <t>Всего в месяц по ОСОТ</t>
  </si>
  <si>
    <t>Минимальная  заработная плата с 01.07.16 г. рублей (разница)</t>
  </si>
  <si>
    <t>Стим.часть  с 01.09.13г.</t>
  </si>
  <si>
    <t>ВСЕГО в месяц  по ОСОТ со стим.</t>
  </si>
  <si>
    <t>ВСЕГО в год  по ОСОТ со стим.</t>
  </si>
  <si>
    <t>ФОТ с повышением с сентября 2014г.</t>
  </si>
  <si>
    <t xml:space="preserve"> повышающий коэф-т по квалификационному уровню</t>
  </si>
  <si>
    <t>повышающий коэф-т за квалификационную категорию педагогическим и медицинским работникам</t>
  </si>
  <si>
    <t>повышающий коэф-т за наличие ученой степени,званий,  знаков отличия</t>
  </si>
  <si>
    <t>повышающийф коэф-т за работу в сельской местности</t>
  </si>
  <si>
    <t>повышающийф коэф-т за работу в арктическом улусе</t>
  </si>
  <si>
    <t>персональный повышающий коэф-т к окладу</t>
  </si>
  <si>
    <t>повышающий коэф-т за выслугу лет  УВП, служащих</t>
  </si>
  <si>
    <t>повышающий коэф-т  за непрерывный медицинский стаж</t>
  </si>
  <si>
    <t>повышающий коэф-т за непрерывный стаж рабочим в образоват. уч-нии</t>
  </si>
  <si>
    <t>водителям за классность</t>
  </si>
  <si>
    <t>повышающий коэф-т по учреждению</t>
  </si>
  <si>
    <t>итого     повышающие коэффициенты</t>
  </si>
  <si>
    <t>Сумма</t>
  </si>
  <si>
    <t>за специфику работы</t>
  </si>
  <si>
    <t>за работу не входящую в круг основных обязанностей работников</t>
  </si>
  <si>
    <t>за вредные условия труда</t>
  </si>
  <si>
    <t>за работу в ночное время</t>
  </si>
  <si>
    <t>итого выплаты компенсационного характера</t>
  </si>
  <si>
    <t>итого с повышением</t>
  </si>
  <si>
    <t xml:space="preserve">Стим.часть по педагог. 15,6%      </t>
  </si>
  <si>
    <t>квалификационный уровень</t>
  </si>
  <si>
    <t>размер повышающего коэф-та</t>
  </si>
  <si>
    <t>сумма</t>
  </si>
  <si>
    <t>СЗД</t>
  </si>
  <si>
    <t xml:space="preserve">высшая                 </t>
  </si>
  <si>
    <t xml:space="preserve">первая                        </t>
  </si>
  <si>
    <t xml:space="preserve">вторая                      </t>
  </si>
  <si>
    <t xml:space="preserve">кандидат наук                </t>
  </si>
  <si>
    <t xml:space="preserve">почетное звание                    </t>
  </si>
  <si>
    <t xml:space="preserve">знаки отличия                   </t>
  </si>
  <si>
    <t>0,25-0,15</t>
  </si>
  <si>
    <t>0,25-0,05</t>
  </si>
  <si>
    <t>размер коэф-та</t>
  </si>
  <si>
    <t xml:space="preserve">от 2 л                до 5 л          </t>
  </si>
  <si>
    <t xml:space="preserve">от2 л                  до 5л  </t>
  </si>
  <si>
    <t xml:space="preserve">от 5 л                  до 10 л             </t>
  </si>
  <si>
    <t xml:space="preserve">от 10 до 15 лет  </t>
  </si>
  <si>
    <t>свыше 15 лет</t>
  </si>
  <si>
    <t xml:space="preserve"> до 3 л</t>
  </si>
  <si>
    <t xml:space="preserve">от 3 л до 5 л               </t>
  </si>
  <si>
    <t xml:space="preserve">свыше 5 л                      </t>
  </si>
  <si>
    <t xml:space="preserve">от 1 г до 3 л          </t>
  </si>
  <si>
    <t xml:space="preserve">свыше 5 л               </t>
  </si>
  <si>
    <t>2 класс -коэф-т 0,1</t>
  </si>
  <si>
    <t>1 класс -коэф-т  0,25</t>
  </si>
  <si>
    <t>процент</t>
  </si>
  <si>
    <t>коэф-т за специализированные ДДУ, лгГ,лгП         до</t>
  </si>
  <si>
    <t xml:space="preserve">эксперимент                        </t>
  </si>
  <si>
    <t>итого за специфику работ</t>
  </si>
  <si>
    <t xml:space="preserve">за помощ.воспитат. </t>
  </si>
  <si>
    <t>за работу без водопровода и канал-ции -0,1</t>
  </si>
  <si>
    <t>за работу без бытовых коммун-й -0,05</t>
  </si>
  <si>
    <t>ПДО УДО за руководство 10 кружков -0,3</t>
  </si>
  <si>
    <t>вид выплаты</t>
  </si>
  <si>
    <t>коэф-т</t>
  </si>
  <si>
    <t>индексация с 01 сентября 2014г. на 6,5%</t>
  </si>
  <si>
    <t xml:space="preserve">Стимулирующая часть 8,5%      </t>
  </si>
  <si>
    <t>Всего в год с повыше- нием</t>
  </si>
  <si>
    <t>Группа по оплате труда</t>
  </si>
  <si>
    <t>Заведующая</t>
  </si>
  <si>
    <t>Итого АУП</t>
  </si>
  <si>
    <t>ПКГ Педагогические работники</t>
  </si>
  <si>
    <t xml:space="preserve">воспитатель </t>
  </si>
  <si>
    <t>Итого осн.перс.</t>
  </si>
  <si>
    <t>Музыкальный руководитель</t>
  </si>
  <si>
    <t>Итого ПП</t>
  </si>
  <si>
    <t>ПКГ Учебно-вспомогательный персонал</t>
  </si>
  <si>
    <t>Помощник воспитателя</t>
  </si>
  <si>
    <t>Итого УВП</t>
  </si>
  <si>
    <t>ПКГ Общеотраслевые должности служащих</t>
  </si>
  <si>
    <t>заведующий хозяйством</t>
  </si>
  <si>
    <t>Итого СЛ</t>
  </si>
  <si>
    <t>ПКГ Средний медицинский персонал</t>
  </si>
  <si>
    <t>Старшая медицинская сестра</t>
  </si>
  <si>
    <t>Итого МП</t>
  </si>
  <si>
    <t>ПКГ Общеотраслевые профессии рабочих</t>
  </si>
  <si>
    <t>повар 4 разряд</t>
  </si>
  <si>
    <t>помощник повара</t>
  </si>
  <si>
    <t>машинист по стирке белья (прачка)</t>
  </si>
  <si>
    <t>сторож</t>
  </si>
  <si>
    <t>истопник</t>
  </si>
  <si>
    <t>дворник</t>
  </si>
  <si>
    <t>Итого Раб.</t>
  </si>
  <si>
    <t xml:space="preserve">Всего                          </t>
  </si>
  <si>
    <t>мест.бюджет</t>
  </si>
  <si>
    <t>Заработная плата  211</t>
  </si>
  <si>
    <t>руб.</t>
  </si>
  <si>
    <t>госстандарт</t>
  </si>
  <si>
    <t>Начисление    213</t>
  </si>
  <si>
    <t>исп.: Бочкарева А.В.</t>
  </si>
  <si>
    <t>ФОТ</t>
  </si>
  <si>
    <t>тел.:53-317</t>
  </si>
  <si>
    <t>2% от ФОТ</t>
  </si>
  <si>
    <t>МБДОУ" Детский  сад  комбинированного вида "Кэрэчээнэ" с.Сиктях</t>
  </si>
  <si>
    <t xml:space="preserve">подсобный рабочий 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</si>
</sst>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(* #,##0.00_);_(* \(#,##0.00\);_(* &quot;-&quot;??_);_(@_)"/>
    <numFmt numFmtId="165" formatCode="0.0%"/>
    <numFmt numFmtId="166" formatCode="#,##0.0"/>
    <numFmt numFmtId="167" formatCode="_-* #,##0_р_._-;\-* #,##0_р_._-;_-* &quot;-&quot;??_р_._-;_-@_-"/>
    <numFmt numFmtId="168" formatCode="_-* #,##0.0_р_._-;\-* #,##0.0_р_._-;_-* &quot;-&quot;??_р_._-;_-@_-"/>
    <numFmt numFmtId="169" formatCode="0.0"/>
    <numFmt numFmtId="170" formatCode="_-* #,##0.0_р_._-;\-* #,##0.0_р_._-;_-* &quot;-&quot;?_р_._-;_-@_-"/>
  </numFmts>
  <fonts count="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b/>
      <sz val="9"/>
      <name val="Arial Cyr"/>
      <charset val="204"/>
    </font>
    <font>
      <b/>
      <i/>
      <sz val="9"/>
      <name val="Arial Cyr"/>
      <charset val="204"/>
    </font>
    <font>
      <sz val="8"/>
      <name val="Arial Cyr"/>
    </font>
    <font>
      <b/>
      <sz val="8"/>
      <name val="Arial Cyr"/>
      <family val="2"/>
      <charset val="204"/>
    </font>
    <font>
      <sz val="8"/>
      <name val="Arial Cyr"/>
      <family val="2"/>
      <charset val="204"/>
    </font>
    <font>
      <b/>
      <i/>
      <sz val="8"/>
      <name val="Arial Cyr"/>
      <family val="2"/>
      <charset val="204"/>
    </font>
    <font>
      <b/>
      <sz val="8"/>
      <name val="Arial Cyr"/>
      <charset val="204"/>
    </font>
    <font>
      <b/>
      <i/>
      <u/>
      <sz val="8"/>
      <name val="Arial Cyr"/>
      <family val="2"/>
      <charset val="204"/>
    </font>
    <font>
      <sz val="8"/>
      <name val="Arial Cyr"/>
      <charset val="204"/>
    </font>
    <font>
      <sz val="8"/>
      <color indexed="10"/>
      <name val="Arial Cyr"/>
      <charset val="204"/>
    </font>
    <font>
      <b/>
      <i/>
      <sz val="8"/>
      <name val="Arial CYR"/>
      <charset val="204"/>
    </font>
    <font>
      <sz val="8"/>
      <color indexed="36"/>
      <name val="Calibri"/>
      <family val="2"/>
      <charset val="204"/>
    </font>
    <font>
      <b/>
      <i/>
      <sz val="8"/>
      <color indexed="8"/>
      <name val="Calibri"/>
      <family val="2"/>
      <charset val="204"/>
    </font>
    <font>
      <sz val="8"/>
      <color indexed="36"/>
      <name val="Arial Cyr"/>
      <charset val="204"/>
    </font>
    <font>
      <sz val="8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i/>
      <sz val="8"/>
      <color rgb="FFFF0000"/>
      <name val="Arial Cyr"/>
      <charset val="204"/>
    </font>
    <font>
      <sz val="8"/>
      <color indexed="60"/>
      <name val="Arial Cyr"/>
    </font>
    <font>
      <b/>
      <sz val="8"/>
      <name val="Arial Cyr"/>
    </font>
    <font>
      <b/>
      <i/>
      <sz val="8"/>
      <name val="Arial Cyr"/>
    </font>
    <font>
      <b/>
      <sz val="8"/>
      <color indexed="10"/>
      <name val="Arial Cyr"/>
      <charset val="204"/>
    </font>
    <font>
      <b/>
      <i/>
      <sz val="8"/>
      <color indexed="17"/>
      <name val="Arial Cyr"/>
      <family val="2"/>
      <charset val="204"/>
    </font>
    <font>
      <sz val="8"/>
      <color indexed="17"/>
      <name val="Arial Cyr"/>
    </font>
    <font>
      <b/>
      <sz val="8"/>
      <color indexed="53"/>
      <name val="Arial Cyr"/>
      <family val="2"/>
      <charset val="204"/>
    </font>
    <font>
      <b/>
      <i/>
      <sz val="8"/>
      <color indexed="53"/>
      <name val="Arial Cyr"/>
      <family val="2"/>
      <charset val="204"/>
    </font>
    <font>
      <sz val="8"/>
      <color indexed="60"/>
      <name val="Arial Cyr"/>
      <family val="2"/>
      <charset val="204"/>
    </font>
    <font>
      <b/>
      <i/>
      <sz val="8"/>
      <color indexed="14"/>
      <name val="Arial Cyr"/>
      <family val="2"/>
      <charset val="204"/>
    </font>
    <font>
      <sz val="8"/>
      <color indexed="14"/>
      <name val="Arial Cyr"/>
    </font>
    <font>
      <sz val="8"/>
      <color indexed="36"/>
      <name val="Arial Cyr"/>
    </font>
    <font>
      <b/>
      <i/>
      <sz val="8"/>
      <color indexed="10"/>
      <name val="Arial Cyr"/>
      <charset val="204"/>
    </font>
    <font>
      <sz val="8"/>
      <color rgb="FFFF0000"/>
      <name val="Arial Cyr"/>
    </font>
    <font>
      <b/>
      <sz val="9"/>
      <color indexed="36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35">
    <xf numFmtId="0" fontId="0" fillId="0" borderId="0" xfId="0"/>
    <xf numFmtId="0" fontId="5" fillId="0" borderId="0" xfId="2" applyFont="1"/>
    <xf numFmtId="0" fontId="5" fillId="0" borderId="0" xfId="2" applyFont="1" applyAlignment="1">
      <alignment wrapText="1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8" fillId="0" borderId="0" xfId="2" applyFont="1"/>
    <xf numFmtId="0" fontId="9" fillId="0" borderId="0" xfId="2" applyFont="1" applyFill="1" applyAlignment="1"/>
    <xf numFmtId="0" fontId="10" fillId="0" borderId="0" xfId="2" applyFont="1" applyAlignment="1"/>
    <xf numFmtId="0" fontId="8" fillId="0" borderId="0" xfId="2" applyFont="1" applyAlignment="1"/>
    <xf numFmtId="0" fontId="9" fillId="0" borderId="1" xfId="2" applyFont="1" applyBorder="1" applyAlignment="1">
      <alignment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Border="1" applyAlignment="1">
      <alignment vertical="center"/>
    </xf>
    <xf numFmtId="0" fontId="9" fillId="0" borderId="1" xfId="2" applyFont="1" applyFill="1" applyBorder="1" applyAlignment="1">
      <alignment vertical="center"/>
    </xf>
    <xf numFmtId="0" fontId="7" fillId="0" borderId="0" xfId="2" applyFont="1"/>
    <xf numFmtId="0" fontId="13" fillId="5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6" fillId="7" borderId="14" xfId="2" applyFont="1" applyFill="1" applyBorder="1" applyAlignment="1">
      <alignment vertical="center" wrapText="1"/>
    </xf>
    <xf numFmtId="0" fontId="13" fillId="8" borderId="15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165" fontId="13" fillId="5" borderId="16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7" borderId="26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9" fillId="3" borderId="7" xfId="2" applyFont="1" applyFill="1" applyBorder="1" applyAlignment="1">
      <alignment horizontal="center" vertical="center" wrapText="1"/>
    </xf>
    <xf numFmtId="166" fontId="8" fillId="3" borderId="2" xfId="2" applyNumberFormat="1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 wrapText="1"/>
    </xf>
    <xf numFmtId="10" fontId="19" fillId="3" borderId="2" xfId="2" applyNumberFormat="1" applyFont="1" applyFill="1" applyBorder="1" applyAlignment="1">
      <alignment horizontal="center" vertical="center" wrapText="1"/>
    </xf>
    <xf numFmtId="0" fontId="13" fillId="3" borderId="5" xfId="2" applyFont="1" applyFill="1" applyBorder="1" applyAlignment="1">
      <alignment horizontal="center" vertical="center" wrapText="1"/>
    </xf>
    <xf numFmtId="0" fontId="13" fillId="3" borderId="27" xfId="2" applyFont="1" applyFill="1" applyBorder="1" applyAlignment="1">
      <alignment horizontal="center" vertical="center" wrapText="1"/>
    </xf>
    <xf numFmtId="0" fontId="6" fillId="3" borderId="28" xfId="2" applyFont="1" applyFill="1" applyBorder="1" applyAlignment="1">
      <alignment horizontal="center" vertical="center" wrapText="1"/>
    </xf>
    <xf numFmtId="0" fontId="6" fillId="3" borderId="0" xfId="2" applyFont="1" applyFill="1" applyAlignment="1">
      <alignment horizontal="center" vertical="center" wrapText="1"/>
    </xf>
    <xf numFmtId="0" fontId="7" fillId="0" borderId="29" xfId="2" applyFont="1" applyBorder="1" applyAlignment="1">
      <alignment wrapText="1"/>
    </xf>
    <xf numFmtId="0" fontId="7" fillId="0" borderId="26" xfId="2" applyFont="1" applyBorder="1"/>
    <xf numFmtId="2" fontId="20" fillId="0" borderId="26" xfId="2" applyNumberFormat="1" applyFont="1" applyBorder="1" applyAlignment="1">
      <alignment horizontal="center" vertical="center"/>
    </xf>
    <xf numFmtId="167" fontId="5" fillId="0" borderId="26" xfId="1" applyNumberFormat="1" applyFont="1" applyBorder="1" applyAlignment="1">
      <alignment horizontal="center" vertical="center"/>
    </xf>
    <xf numFmtId="2" fontId="5" fillId="0" borderId="26" xfId="1" applyNumberFormat="1" applyFont="1" applyBorder="1" applyAlignment="1">
      <alignment horizontal="center" vertical="center"/>
    </xf>
    <xf numFmtId="43" fontId="5" fillId="0" borderId="30" xfId="1" applyNumberFormat="1" applyFont="1" applyBorder="1" applyAlignment="1">
      <alignment horizontal="center" vertical="center"/>
    </xf>
    <xf numFmtId="3" fontId="5" fillId="0" borderId="29" xfId="2" applyNumberFormat="1" applyFont="1" applyBorder="1" applyAlignment="1">
      <alignment horizontal="center" vertical="center"/>
    </xf>
    <xf numFmtId="3" fontId="5" fillId="0" borderId="26" xfId="2" applyNumberFormat="1" applyFont="1" applyBorder="1" applyAlignment="1">
      <alignment horizontal="center" vertical="center"/>
    </xf>
    <xf numFmtId="3" fontId="5" fillId="0" borderId="31" xfId="2" applyNumberFormat="1" applyFont="1" applyBorder="1" applyAlignment="1">
      <alignment horizontal="center" vertical="center"/>
    </xf>
    <xf numFmtId="3" fontId="5" fillId="0" borderId="32" xfId="2" applyNumberFormat="1" applyFont="1" applyBorder="1" applyAlignment="1">
      <alignment horizontal="center" vertical="center"/>
    </xf>
    <xf numFmtId="4" fontId="5" fillId="0" borderId="26" xfId="2" applyNumberFormat="1" applyFont="1" applyBorder="1" applyAlignment="1">
      <alignment horizontal="center" vertical="center"/>
    </xf>
    <xf numFmtId="4" fontId="5" fillId="0" borderId="29" xfId="2" applyNumberFormat="1" applyFont="1" applyBorder="1" applyAlignment="1">
      <alignment horizontal="center" vertical="center"/>
    </xf>
    <xf numFmtId="4" fontId="5" fillId="0" borderId="32" xfId="2" applyNumberFormat="1" applyFont="1" applyBorder="1" applyAlignment="1">
      <alignment horizontal="center" vertical="center"/>
    </xf>
    <xf numFmtId="4" fontId="5" fillId="0" borderId="31" xfId="2" applyNumberFormat="1" applyFont="1" applyBorder="1" applyAlignment="1">
      <alignment horizontal="center" vertical="center"/>
    </xf>
    <xf numFmtId="3" fontId="5" fillId="0" borderId="30" xfId="2" applyNumberFormat="1" applyFont="1" applyBorder="1" applyAlignment="1">
      <alignment horizontal="center" vertical="center"/>
    </xf>
    <xf numFmtId="4" fontId="21" fillId="0" borderId="33" xfId="2" applyNumberFormat="1" applyFont="1" applyBorder="1" applyAlignment="1">
      <alignment horizontal="center" vertical="center"/>
    </xf>
    <xf numFmtId="3" fontId="21" fillId="0" borderId="34" xfId="2" applyNumberFormat="1" applyFont="1" applyBorder="1" applyAlignment="1">
      <alignment horizontal="center" vertical="center"/>
    </xf>
    <xf numFmtId="3" fontId="21" fillId="0" borderId="31" xfId="2" applyNumberFormat="1" applyFont="1" applyBorder="1" applyAlignment="1">
      <alignment horizontal="center" vertical="center"/>
    </xf>
    <xf numFmtId="3" fontId="21" fillId="0" borderId="33" xfId="2" applyNumberFormat="1" applyFont="1" applyBorder="1" applyAlignment="1">
      <alignment horizontal="center" vertical="center"/>
    </xf>
    <xf numFmtId="3" fontId="22" fillId="0" borderId="33" xfId="2" applyNumberFormat="1" applyFont="1" applyBorder="1" applyAlignment="1">
      <alignment horizontal="center" vertical="center"/>
    </xf>
    <xf numFmtId="166" fontId="5" fillId="0" borderId="29" xfId="2" applyNumberFormat="1" applyFont="1" applyBorder="1" applyAlignment="1">
      <alignment horizontal="center" vertical="center"/>
    </xf>
    <xf numFmtId="3" fontId="22" fillId="0" borderId="34" xfId="2" applyNumberFormat="1" applyFont="1" applyBorder="1" applyAlignment="1">
      <alignment horizontal="center" vertical="center"/>
    </xf>
    <xf numFmtId="166" fontId="22" fillId="0" borderId="30" xfId="2" applyNumberFormat="1" applyFont="1" applyBorder="1" applyAlignment="1">
      <alignment horizontal="center" vertical="center"/>
    </xf>
    <xf numFmtId="4" fontId="5" fillId="0" borderId="35" xfId="2" applyNumberFormat="1" applyFont="1" applyBorder="1"/>
    <xf numFmtId="0" fontId="8" fillId="0" borderId="36" xfId="2" applyFont="1" applyBorder="1" applyAlignment="1">
      <alignment wrapText="1"/>
    </xf>
    <xf numFmtId="0" fontId="8" fillId="0" borderId="24" xfId="2" applyFont="1" applyBorder="1" applyAlignment="1">
      <alignment horizontal="center"/>
    </xf>
    <xf numFmtId="168" fontId="22" fillId="0" borderId="23" xfId="1" applyNumberFormat="1" applyFont="1" applyBorder="1" applyAlignment="1">
      <alignment horizontal="center" vertical="center"/>
    </xf>
    <xf numFmtId="168" fontId="22" fillId="0" borderId="37" xfId="1" applyNumberFormat="1" applyFont="1" applyBorder="1" applyAlignment="1">
      <alignment horizontal="center" vertical="center"/>
    </xf>
    <xf numFmtId="4" fontId="13" fillId="5" borderId="36" xfId="2" applyNumberFormat="1" applyFont="1" applyFill="1" applyBorder="1"/>
    <xf numFmtId="4" fontId="13" fillId="5" borderId="38" xfId="2" applyNumberFormat="1" applyFont="1" applyFill="1" applyBorder="1"/>
    <xf numFmtId="2" fontId="20" fillId="0" borderId="28" xfId="2" applyNumberFormat="1" applyFont="1" applyBorder="1" applyAlignment="1">
      <alignment horizontal="center" vertical="center"/>
    </xf>
    <xf numFmtId="167" fontId="5" fillId="0" borderId="28" xfId="1" applyNumberFormat="1" applyFont="1" applyBorder="1" applyAlignment="1">
      <alignment horizontal="center" vertical="center"/>
    </xf>
    <xf numFmtId="3" fontId="5" fillId="0" borderId="28" xfId="2" applyNumberFormat="1" applyFont="1" applyBorder="1" applyAlignment="1">
      <alignment horizontal="center" vertical="center"/>
    </xf>
    <xf numFmtId="3" fontId="5" fillId="0" borderId="41" xfId="2" applyNumberFormat="1" applyFont="1" applyBorder="1" applyAlignment="1">
      <alignment horizontal="center" vertical="center"/>
    </xf>
    <xf numFmtId="3" fontId="5" fillId="0" borderId="42" xfId="2" applyNumberFormat="1" applyFont="1" applyBorder="1" applyAlignment="1">
      <alignment horizontal="center" vertical="center"/>
    </xf>
    <xf numFmtId="3" fontId="5" fillId="0" borderId="43" xfId="2" applyNumberFormat="1" applyFont="1" applyBorder="1" applyAlignment="1">
      <alignment horizontal="center" vertical="center"/>
    </xf>
    <xf numFmtId="3" fontId="5" fillId="0" borderId="14" xfId="2" applyNumberFormat="1" applyFont="1" applyBorder="1" applyAlignment="1">
      <alignment horizontal="center" vertical="center"/>
    </xf>
    <xf numFmtId="3" fontId="21" fillId="0" borderId="44" xfId="2" applyNumberFormat="1" applyFont="1" applyBorder="1" applyAlignment="1">
      <alignment horizontal="center" vertical="center"/>
    </xf>
    <xf numFmtId="3" fontId="21" fillId="0" borderId="39" xfId="2" applyNumberFormat="1" applyFont="1" applyBorder="1" applyAlignment="1">
      <alignment horizontal="center" vertical="center"/>
    </xf>
    <xf numFmtId="3" fontId="21" fillId="0" borderId="43" xfId="2" applyNumberFormat="1" applyFont="1" applyBorder="1" applyAlignment="1">
      <alignment horizontal="center" vertical="center"/>
    </xf>
    <xf numFmtId="3" fontId="22" fillId="0" borderId="44" xfId="2" applyNumberFormat="1" applyFont="1" applyBorder="1" applyAlignment="1">
      <alignment horizontal="center" vertical="center"/>
    </xf>
    <xf numFmtId="166" fontId="5" fillId="0" borderId="42" xfId="2" applyNumberFormat="1" applyFont="1" applyBorder="1" applyAlignment="1">
      <alignment horizontal="center" vertical="center"/>
    </xf>
    <xf numFmtId="3" fontId="22" fillId="0" borderId="30" xfId="2" applyNumberFormat="1" applyFont="1" applyBorder="1" applyAlignment="1">
      <alignment horizontal="center" vertical="center"/>
    </xf>
    <xf numFmtId="4" fontId="5" fillId="0" borderId="28" xfId="2" applyNumberFormat="1" applyFont="1" applyBorder="1"/>
    <xf numFmtId="0" fontId="5" fillId="0" borderId="28" xfId="2" applyFont="1" applyBorder="1"/>
    <xf numFmtId="0" fontId="7" fillId="9" borderId="29" xfId="2" applyFont="1" applyFill="1" applyBorder="1" applyAlignment="1">
      <alignment wrapText="1"/>
    </xf>
    <xf numFmtId="0" fontId="24" fillId="0" borderId="26" xfId="2" applyFont="1" applyBorder="1"/>
    <xf numFmtId="169" fontId="25" fillId="3" borderId="26" xfId="2" applyNumberFormat="1" applyFont="1" applyFill="1" applyBorder="1" applyAlignment="1">
      <alignment horizontal="center" vertical="center"/>
    </xf>
    <xf numFmtId="1" fontId="5" fillId="0" borderId="30" xfId="1" applyNumberFormat="1" applyFont="1" applyBorder="1" applyAlignment="1">
      <alignment horizontal="center" vertical="center"/>
    </xf>
    <xf numFmtId="2" fontId="5" fillId="0" borderId="26" xfId="2" applyNumberFormat="1" applyFont="1" applyBorder="1" applyAlignment="1">
      <alignment horizontal="center" vertical="center"/>
    </xf>
    <xf numFmtId="166" fontId="5" fillId="0" borderId="26" xfId="2" applyNumberFormat="1" applyFont="1" applyBorder="1" applyAlignment="1">
      <alignment horizontal="center" vertical="center"/>
    </xf>
    <xf numFmtId="4" fontId="5" fillId="0" borderId="30" xfId="2" applyNumberFormat="1" applyFont="1" applyBorder="1" applyAlignment="1">
      <alignment horizontal="center" vertical="center"/>
    </xf>
    <xf numFmtId="4" fontId="5" fillId="3" borderId="35" xfId="2" applyNumberFormat="1" applyFont="1" applyFill="1" applyBorder="1"/>
    <xf numFmtId="0" fontId="5" fillId="3" borderId="0" xfId="2" applyFont="1" applyFill="1"/>
    <xf numFmtId="0" fontId="8" fillId="5" borderId="36" xfId="2" applyFont="1" applyFill="1" applyBorder="1" applyAlignment="1">
      <alignment wrapText="1"/>
    </xf>
    <xf numFmtId="0" fontId="8" fillId="5" borderId="24" xfId="2" applyFont="1" applyFill="1" applyBorder="1" applyAlignment="1">
      <alignment horizontal="center"/>
    </xf>
    <xf numFmtId="168" fontId="22" fillId="5" borderId="23" xfId="1" applyNumberFormat="1" applyFont="1" applyFill="1" applyBorder="1" applyAlignment="1">
      <alignment horizontal="center" vertical="center"/>
    </xf>
    <xf numFmtId="2" fontId="22" fillId="5" borderId="23" xfId="1" applyNumberFormat="1" applyFont="1" applyFill="1" applyBorder="1" applyAlignment="1">
      <alignment horizontal="center" vertical="center"/>
    </xf>
    <xf numFmtId="4" fontId="22" fillId="5" borderId="23" xfId="1" applyNumberFormat="1" applyFont="1" applyFill="1" applyBorder="1" applyAlignment="1">
      <alignment horizontal="center" vertical="center"/>
    </xf>
    <xf numFmtId="168" fontId="22" fillId="5" borderId="37" xfId="1" applyNumberFormat="1" applyFont="1" applyFill="1" applyBorder="1" applyAlignment="1">
      <alignment horizontal="center" vertical="center"/>
    </xf>
    <xf numFmtId="166" fontId="25" fillId="0" borderId="26" xfId="2" applyNumberFormat="1" applyFont="1" applyBorder="1" applyAlignment="1">
      <alignment horizontal="center" vertical="center"/>
    </xf>
    <xf numFmtId="167" fontId="5" fillId="0" borderId="30" xfId="1" applyNumberFormat="1" applyFont="1" applyBorder="1" applyAlignment="1">
      <alignment horizontal="center" vertical="center"/>
    </xf>
    <xf numFmtId="4" fontId="5" fillId="0" borderId="45" xfId="2" applyNumberFormat="1" applyFont="1" applyBorder="1"/>
    <xf numFmtId="0" fontId="5" fillId="5" borderId="0" xfId="2" applyFont="1" applyFill="1"/>
    <xf numFmtId="0" fontId="26" fillId="0" borderId="26" xfId="2" applyFont="1" applyBorder="1"/>
    <xf numFmtId="2" fontId="22" fillId="5" borderId="37" xfId="1" applyNumberFormat="1" applyFont="1" applyFill="1" applyBorder="1" applyAlignment="1">
      <alignment horizontal="center" vertical="center"/>
    </xf>
    <xf numFmtId="4" fontId="22" fillId="5" borderId="37" xfId="1" applyNumberFormat="1" applyFont="1" applyFill="1" applyBorder="1" applyAlignment="1">
      <alignment horizontal="center" vertical="center"/>
    </xf>
    <xf numFmtId="2" fontId="5" fillId="0" borderId="30" xfId="2" applyNumberFormat="1" applyFont="1" applyBorder="1" applyAlignment="1">
      <alignment horizontal="center" vertical="center"/>
    </xf>
    <xf numFmtId="2" fontId="5" fillId="0" borderId="31" xfId="2" applyNumberFormat="1" applyFont="1" applyBorder="1" applyAlignment="1">
      <alignment horizontal="center" vertical="center"/>
    </xf>
    <xf numFmtId="0" fontId="7" fillId="0" borderId="12" xfId="2" applyFont="1" applyBorder="1" applyAlignment="1">
      <alignment wrapText="1"/>
    </xf>
    <xf numFmtId="0" fontId="27" fillId="0" borderId="30" xfId="2" applyFont="1" applyBorder="1" applyAlignment="1">
      <alignment horizontal="center"/>
    </xf>
    <xf numFmtId="2" fontId="5" fillId="0" borderId="29" xfId="2" applyNumberFormat="1" applyFont="1" applyBorder="1" applyAlignment="1">
      <alignment horizontal="center" vertical="center"/>
    </xf>
    <xf numFmtId="0" fontId="28" fillId="0" borderId="26" xfId="2" applyFont="1" applyBorder="1"/>
    <xf numFmtId="169" fontId="20" fillId="0" borderId="26" xfId="2" applyNumberFormat="1" applyFont="1" applyBorder="1" applyAlignment="1">
      <alignment horizontal="center"/>
    </xf>
    <xf numFmtId="0" fontId="29" fillId="0" borderId="30" xfId="2" applyFont="1" applyBorder="1" applyAlignment="1">
      <alignment horizontal="left"/>
    </xf>
    <xf numFmtId="2" fontId="30" fillId="0" borderId="26" xfId="2" applyNumberFormat="1" applyFont="1" applyBorder="1" applyAlignment="1">
      <alignment horizontal="center" vertical="center"/>
    </xf>
    <xf numFmtId="4" fontId="5" fillId="0" borderId="26" xfId="2" applyNumberFormat="1" applyFont="1" applyBorder="1"/>
    <xf numFmtId="2" fontId="31" fillId="0" borderId="26" xfId="2" applyNumberFormat="1" applyFont="1" applyBorder="1" applyAlignment="1">
      <alignment horizontal="center"/>
    </xf>
    <xf numFmtId="3" fontId="30" fillId="0" borderId="26" xfId="2" applyNumberFormat="1" applyFont="1" applyBorder="1" applyAlignment="1">
      <alignment horizontal="center" vertical="center"/>
    </xf>
    <xf numFmtId="168" fontId="22" fillId="5" borderId="25" xfId="1" applyNumberFormat="1" applyFont="1" applyFill="1" applyBorder="1" applyAlignment="1">
      <alignment horizontal="center" vertical="center"/>
    </xf>
    <xf numFmtId="4" fontId="13" fillId="5" borderId="47" xfId="2" applyNumberFormat="1" applyFont="1" applyFill="1" applyBorder="1"/>
    <xf numFmtId="4" fontId="13" fillId="5" borderId="8" xfId="2" applyNumberFormat="1" applyFont="1" applyFill="1" applyBorder="1"/>
    <xf numFmtId="4" fontId="9" fillId="5" borderId="47" xfId="2" applyNumberFormat="1" applyFont="1" applyFill="1" applyBorder="1"/>
    <xf numFmtId="4" fontId="9" fillId="5" borderId="8" xfId="2" applyNumberFormat="1" applyFont="1" applyFill="1" applyBorder="1"/>
    <xf numFmtId="4" fontId="23" fillId="0" borderId="0" xfId="2" applyNumberFormat="1" applyFont="1"/>
    <xf numFmtId="0" fontId="9" fillId="0" borderId="0" xfId="2" applyFont="1"/>
    <xf numFmtId="167" fontId="7" fillId="8" borderId="0" xfId="1" applyNumberFormat="1" applyFont="1" applyFill="1" applyAlignment="1">
      <alignment wrapText="1"/>
    </xf>
    <xf numFmtId="167" fontId="7" fillId="8" borderId="0" xfId="1" applyNumberFormat="1" applyFont="1" applyFill="1"/>
    <xf numFmtId="168" fontId="13" fillId="8" borderId="0" xfId="1" applyNumberFormat="1" applyFont="1" applyFill="1" applyBorder="1" applyAlignment="1">
      <alignment horizontal="center" vertical="center"/>
    </xf>
    <xf numFmtId="167" fontId="7" fillId="0" borderId="0" xfId="1" applyNumberFormat="1" applyFont="1"/>
    <xf numFmtId="168" fontId="13" fillId="8" borderId="0" xfId="1" applyNumberFormat="1" applyFont="1" applyFill="1" applyBorder="1" applyAlignment="1">
      <alignment vertical="center"/>
    </xf>
    <xf numFmtId="168" fontId="32" fillId="8" borderId="0" xfId="1" applyNumberFormat="1" applyFont="1" applyFill="1" applyBorder="1" applyAlignment="1">
      <alignment vertical="center"/>
    </xf>
    <xf numFmtId="167" fontId="7" fillId="0" borderId="0" xfId="1" applyNumberFormat="1" applyFont="1" applyAlignment="1">
      <alignment wrapText="1"/>
    </xf>
    <xf numFmtId="168" fontId="13" fillId="0" borderId="0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right"/>
    </xf>
    <xf numFmtId="1" fontId="9" fillId="0" borderId="0" xfId="2" applyNumberFormat="1" applyFont="1"/>
    <xf numFmtId="167" fontId="5" fillId="0" borderId="0" xfId="1" applyNumberFormat="1" applyFont="1"/>
    <xf numFmtId="0" fontId="13" fillId="0" borderId="0" xfId="2" applyFont="1"/>
    <xf numFmtId="4" fontId="13" fillId="0" borderId="0" xfId="2" applyNumberFormat="1" applyFont="1"/>
    <xf numFmtId="0" fontId="9" fillId="0" borderId="0" xfId="2" applyFont="1" applyAlignment="1">
      <alignment horizontal="right"/>
    </xf>
    <xf numFmtId="168" fontId="9" fillId="0" borderId="0" xfId="2" applyNumberFormat="1" applyFont="1"/>
    <xf numFmtId="0" fontId="13" fillId="0" borderId="0" xfId="2" applyFont="1" applyAlignment="1">
      <alignment horizontal="right"/>
    </xf>
    <xf numFmtId="4" fontId="13" fillId="0" borderId="0" xfId="2" applyNumberFormat="1" applyFont="1" applyBorder="1"/>
    <xf numFmtId="170" fontId="9" fillId="0" borderId="0" xfId="2" applyNumberFormat="1" applyFont="1"/>
    <xf numFmtId="0" fontId="33" fillId="0" borderId="0" xfId="2" applyFont="1"/>
    <xf numFmtId="4" fontId="33" fillId="0" borderId="0" xfId="2" applyNumberFormat="1" applyFont="1"/>
    <xf numFmtId="4" fontId="5" fillId="0" borderId="0" xfId="2" applyNumberFormat="1" applyFont="1"/>
    <xf numFmtId="0" fontId="3" fillId="0" borderId="0" xfId="2" applyFont="1" applyAlignment="1">
      <alignment horizontal="center" wrapText="1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/>
    <xf numFmtId="0" fontId="9" fillId="0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8" fillId="0" borderId="39" xfId="2" applyFont="1" applyBorder="1" applyAlignment="1">
      <alignment horizontal="center"/>
    </xf>
    <xf numFmtId="0" fontId="8" fillId="0" borderId="40" xfId="2" applyFont="1" applyBorder="1" applyAlignment="1">
      <alignment horizontal="center"/>
    </xf>
    <xf numFmtId="4" fontId="23" fillId="0" borderId="0" xfId="2" applyNumberFormat="1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6" fillId="7" borderId="0" xfId="2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0" fontId="8" fillId="0" borderId="34" xfId="2" applyFont="1" applyBorder="1" applyAlignment="1">
      <alignment horizontal="center"/>
    </xf>
    <xf numFmtId="0" fontId="8" fillId="0" borderId="46" xfId="2" applyFont="1" applyBorder="1" applyAlignment="1">
      <alignment horizontal="center"/>
    </xf>
    <xf numFmtId="0" fontId="11" fillId="4" borderId="3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14" fillId="0" borderId="5" xfId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center" vertical="center" wrapText="1"/>
    </xf>
    <xf numFmtId="164" fontId="14" fillId="0" borderId="10" xfId="1" applyNumberFormat="1" applyFont="1" applyBorder="1" applyAlignment="1">
      <alignment horizontal="center" vertical="center" wrapText="1"/>
    </xf>
    <xf numFmtId="164" fontId="14" fillId="0" borderId="11" xfId="1" applyNumberFormat="1" applyFont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34" fillId="0" borderId="26" xfId="2" applyFont="1" applyBorder="1"/>
    <xf numFmtId="0" fontId="34" fillId="0" borderId="26" xfId="2" applyFont="1" applyBorder="1" applyAlignment="1">
      <alignment wrapText="1"/>
    </xf>
  </cellXfs>
  <cellStyles count="3">
    <cellStyle name="Обычный" xfId="0" builtinId="0"/>
    <cellStyle name="Обычный_STATDDU3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51"/>
  <sheetViews>
    <sheetView tabSelected="1" topLeftCell="A19" workbookViewId="0">
      <selection activeCell="E42" sqref="E42"/>
    </sheetView>
  </sheetViews>
  <sheetFormatPr defaultRowHeight="11.25"/>
  <cols>
    <col min="1" max="1" width="9.140625" style="2"/>
    <col min="2" max="2" width="28.85546875" style="1" customWidth="1"/>
    <col min="3" max="3" width="9.140625" style="3"/>
    <col min="4" max="5" width="9.140625" style="1"/>
    <col min="6" max="6" width="15.140625" style="1" customWidth="1"/>
    <col min="7" max="16384" width="9.140625" style="1"/>
  </cols>
  <sheetData>
    <row r="1" spans="1:84" ht="12">
      <c r="A1" s="159" t="s">
        <v>0</v>
      </c>
      <c r="B1" s="159"/>
      <c r="C1" s="160" t="s">
        <v>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1" t="s">
        <v>2</v>
      </c>
      <c r="V1" s="161"/>
      <c r="W1" s="161"/>
      <c r="X1" s="161"/>
      <c r="AI1" s="162"/>
      <c r="AJ1" s="162"/>
      <c r="AK1" s="162"/>
      <c r="AL1" s="162"/>
      <c r="AM1" s="162"/>
      <c r="AN1" s="162"/>
      <c r="AO1" s="162"/>
      <c r="AP1" s="162"/>
    </row>
    <row r="2" spans="1:84" ht="12">
      <c r="A2" s="159" t="s">
        <v>3</v>
      </c>
      <c r="B2" s="159"/>
      <c r="C2" s="160" t="s">
        <v>121</v>
      </c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1" t="s">
        <v>4</v>
      </c>
      <c r="V2" s="161"/>
      <c r="W2" s="161"/>
      <c r="X2" s="161"/>
      <c r="AI2" s="163"/>
      <c r="AJ2" s="163"/>
      <c r="AK2" s="163"/>
      <c r="AL2" s="163"/>
      <c r="AM2" s="163"/>
      <c r="AN2" s="163"/>
      <c r="AO2" s="163"/>
      <c r="AP2" s="163"/>
    </row>
    <row r="3" spans="1:84" ht="12">
      <c r="A3" s="159" t="s">
        <v>5</v>
      </c>
      <c r="B3" s="159"/>
      <c r="C3" s="160" t="s">
        <v>6</v>
      </c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1" t="s">
        <v>7</v>
      </c>
      <c r="V3" s="161"/>
      <c r="W3" s="161"/>
      <c r="X3" s="161"/>
      <c r="AI3" s="163"/>
      <c r="AJ3" s="163"/>
      <c r="AK3" s="163"/>
      <c r="AL3" s="163"/>
      <c r="AM3" s="163"/>
      <c r="AN3" s="163"/>
      <c r="AO3" s="163"/>
      <c r="AP3" s="163"/>
    </row>
    <row r="4" spans="1:84" ht="12">
      <c r="C4" s="160" t="s">
        <v>8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AI4" s="163"/>
      <c r="AJ4" s="163"/>
      <c r="AK4" s="163"/>
      <c r="AL4" s="163"/>
      <c r="AM4" s="163"/>
      <c r="AN4" s="163"/>
      <c r="AO4" s="163"/>
      <c r="AP4" s="163"/>
    </row>
    <row r="5" spans="1:84">
      <c r="H5" s="4"/>
      <c r="I5" s="4"/>
      <c r="J5" s="4"/>
      <c r="K5" s="4"/>
      <c r="L5" s="4"/>
      <c r="M5" s="4"/>
      <c r="O5" s="5"/>
      <c r="P5" s="5"/>
      <c r="Q5" s="5"/>
      <c r="R5" s="5"/>
    </row>
    <row r="6" spans="1:84">
      <c r="I6" s="6"/>
      <c r="J6" s="6"/>
      <c r="K6" s="6"/>
      <c r="O6" s="7"/>
      <c r="P6" s="7"/>
      <c r="Q6" s="8"/>
      <c r="R6" s="8"/>
    </row>
    <row r="8" spans="1:84" s="13" customFormat="1" ht="12" thickBot="1">
      <c r="A8" s="9"/>
      <c r="B8" s="10" t="s">
        <v>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64"/>
      <c r="BW8" s="164"/>
      <c r="BX8" s="164"/>
      <c r="BY8" s="10"/>
      <c r="BZ8" s="12"/>
      <c r="CC8" s="165" t="s">
        <v>10</v>
      </c>
      <c r="CD8" s="165"/>
    </row>
    <row r="9" spans="1:84" s="16" customFormat="1" ht="32.25" thickBot="1">
      <c r="A9" s="166" t="s">
        <v>11</v>
      </c>
      <c r="B9" s="166" t="s">
        <v>12</v>
      </c>
      <c r="C9" s="166" t="s">
        <v>13</v>
      </c>
      <c r="D9" s="169" t="s">
        <v>14</v>
      </c>
      <c r="E9" s="169" t="s">
        <v>15</v>
      </c>
      <c r="F9" s="169" t="s">
        <v>16</v>
      </c>
      <c r="G9" s="172" t="s">
        <v>17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4" t="s">
        <v>17</v>
      </c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6"/>
      <c r="AT9" s="226" t="s">
        <v>18</v>
      </c>
      <c r="AU9" s="227"/>
      <c r="AV9" s="230" t="s">
        <v>19</v>
      </c>
      <c r="AW9" s="231"/>
      <c r="AX9" s="231"/>
      <c r="AY9" s="231"/>
      <c r="AZ9" s="231"/>
      <c r="BA9" s="231"/>
      <c r="BB9" s="231"/>
      <c r="BC9" s="231"/>
      <c r="BD9" s="231"/>
      <c r="BE9" s="231"/>
      <c r="BF9" s="231"/>
      <c r="BG9" s="231"/>
      <c r="BH9" s="231"/>
      <c r="BI9" s="231"/>
      <c r="BJ9" s="231"/>
      <c r="BK9" s="231"/>
      <c r="BL9" s="231"/>
      <c r="BM9" s="231"/>
      <c r="BN9" s="231"/>
      <c r="BO9" s="231"/>
      <c r="BP9" s="231"/>
      <c r="BQ9" s="231"/>
      <c r="BR9" s="232"/>
      <c r="BS9" s="177" t="s">
        <v>20</v>
      </c>
      <c r="BT9" s="180" t="s">
        <v>21</v>
      </c>
      <c r="BU9" s="181"/>
      <c r="BV9" s="184" t="s">
        <v>22</v>
      </c>
      <c r="BW9" s="14"/>
      <c r="BX9" s="184" t="s">
        <v>23</v>
      </c>
      <c r="BY9" s="14"/>
      <c r="BZ9" s="15" t="s">
        <v>24</v>
      </c>
      <c r="CA9" s="211" t="s">
        <v>25</v>
      </c>
      <c r="CB9" s="211" t="s">
        <v>26</v>
      </c>
      <c r="CC9" s="215" t="s">
        <v>27</v>
      </c>
      <c r="CD9" s="215"/>
      <c r="CE9" s="215"/>
    </row>
    <row r="10" spans="1:84" s="16" customFormat="1" ht="42.75" thickBot="1">
      <c r="A10" s="167"/>
      <c r="B10" s="167"/>
      <c r="C10" s="167"/>
      <c r="D10" s="170"/>
      <c r="E10" s="170"/>
      <c r="F10" s="170"/>
      <c r="G10" s="194" t="s">
        <v>28</v>
      </c>
      <c r="H10" s="216"/>
      <c r="I10" s="195"/>
      <c r="J10" s="217" t="s">
        <v>29</v>
      </c>
      <c r="K10" s="218"/>
      <c r="L10" s="218"/>
      <c r="M10" s="218"/>
      <c r="N10" s="219"/>
      <c r="O10" s="191" t="s">
        <v>30</v>
      </c>
      <c r="P10" s="192"/>
      <c r="Q10" s="192"/>
      <c r="R10" s="193"/>
      <c r="S10" s="222" t="s">
        <v>31</v>
      </c>
      <c r="T10" s="223"/>
      <c r="U10" s="224" t="s">
        <v>32</v>
      </c>
      <c r="V10" s="225"/>
      <c r="W10" s="205" t="s">
        <v>33</v>
      </c>
      <c r="X10" s="207"/>
      <c r="Y10" s="191" t="s">
        <v>34</v>
      </c>
      <c r="Z10" s="192"/>
      <c r="AA10" s="192"/>
      <c r="AB10" s="192"/>
      <c r="AC10" s="192"/>
      <c r="AD10" s="193"/>
      <c r="AE10" s="205" t="s">
        <v>35</v>
      </c>
      <c r="AF10" s="206"/>
      <c r="AG10" s="206"/>
      <c r="AH10" s="207"/>
      <c r="AI10" s="191" t="s">
        <v>36</v>
      </c>
      <c r="AJ10" s="192"/>
      <c r="AK10" s="192"/>
      <c r="AL10" s="193"/>
      <c r="AM10" s="208" t="s">
        <v>37</v>
      </c>
      <c r="AN10" s="209"/>
      <c r="AO10" s="210"/>
      <c r="AP10" s="194" t="s">
        <v>38</v>
      </c>
      <c r="AQ10" s="195"/>
      <c r="AR10" s="198" t="s">
        <v>39</v>
      </c>
      <c r="AS10" s="198" t="s">
        <v>40</v>
      </c>
      <c r="AT10" s="228"/>
      <c r="AU10" s="229"/>
      <c r="AV10" s="188" t="s">
        <v>41</v>
      </c>
      <c r="AW10" s="189"/>
      <c r="AX10" s="189"/>
      <c r="AY10" s="189"/>
      <c r="AZ10" s="189"/>
      <c r="BA10" s="189"/>
      <c r="BB10" s="190"/>
      <c r="BC10" s="188" t="s">
        <v>42</v>
      </c>
      <c r="BD10" s="189"/>
      <c r="BE10" s="189"/>
      <c r="BF10" s="189"/>
      <c r="BG10" s="189"/>
      <c r="BH10" s="190"/>
      <c r="BI10" s="191" t="s">
        <v>43</v>
      </c>
      <c r="BJ10" s="192"/>
      <c r="BK10" s="193"/>
      <c r="BL10" s="194" t="s">
        <v>44</v>
      </c>
      <c r="BM10" s="195"/>
      <c r="BN10" s="194"/>
      <c r="BO10" s="195"/>
      <c r="BP10" s="196"/>
      <c r="BQ10" s="197"/>
      <c r="BR10" s="198" t="s">
        <v>45</v>
      </c>
      <c r="BS10" s="178"/>
      <c r="BT10" s="182"/>
      <c r="BU10" s="183"/>
      <c r="BV10" s="185"/>
      <c r="BW10" s="17"/>
      <c r="BX10" s="187"/>
      <c r="BY10" s="18" t="s">
        <v>46</v>
      </c>
      <c r="BZ10" s="200">
        <v>0.33</v>
      </c>
      <c r="CA10" s="212"/>
      <c r="CB10" s="214"/>
      <c r="CC10" s="19"/>
      <c r="CD10" s="20" t="s">
        <v>47</v>
      </c>
      <c r="CE10" s="19"/>
    </row>
    <row r="11" spans="1:84" s="16" customFormat="1" ht="68.25" thickBot="1">
      <c r="A11" s="168"/>
      <c r="B11" s="168"/>
      <c r="C11" s="168"/>
      <c r="D11" s="171"/>
      <c r="E11" s="171"/>
      <c r="F11" s="171"/>
      <c r="G11" s="21" t="s">
        <v>48</v>
      </c>
      <c r="H11" s="22" t="s">
        <v>49</v>
      </c>
      <c r="I11" s="23" t="s">
        <v>50</v>
      </c>
      <c r="J11" s="24" t="s">
        <v>51</v>
      </c>
      <c r="K11" s="25" t="s">
        <v>52</v>
      </c>
      <c r="L11" s="26" t="s">
        <v>53</v>
      </c>
      <c r="M11" s="26" t="s">
        <v>54</v>
      </c>
      <c r="N11" s="27" t="s">
        <v>50</v>
      </c>
      <c r="O11" s="21" t="s">
        <v>55</v>
      </c>
      <c r="P11" s="22" t="s">
        <v>56</v>
      </c>
      <c r="Q11" s="22" t="s">
        <v>57</v>
      </c>
      <c r="R11" s="23" t="s">
        <v>50</v>
      </c>
      <c r="S11" s="28" t="s">
        <v>58</v>
      </c>
      <c r="T11" s="29" t="s">
        <v>50</v>
      </c>
      <c r="U11" s="30" t="s">
        <v>59</v>
      </c>
      <c r="V11" s="31" t="s">
        <v>50</v>
      </c>
      <c r="W11" s="21" t="s">
        <v>60</v>
      </c>
      <c r="X11" s="23" t="s">
        <v>50</v>
      </c>
      <c r="Y11" s="21" t="s">
        <v>61</v>
      </c>
      <c r="Z11" s="22" t="s">
        <v>62</v>
      </c>
      <c r="AA11" s="22" t="s">
        <v>63</v>
      </c>
      <c r="AB11" s="22" t="s">
        <v>64</v>
      </c>
      <c r="AC11" s="32" t="s">
        <v>65</v>
      </c>
      <c r="AD11" s="23" t="s">
        <v>50</v>
      </c>
      <c r="AE11" s="21" t="s">
        <v>66</v>
      </c>
      <c r="AF11" s="22" t="s">
        <v>67</v>
      </c>
      <c r="AG11" s="22" t="s">
        <v>68</v>
      </c>
      <c r="AH11" s="23" t="s">
        <v>50</v>
      </c>
      <c r="AI11" s="21" t="s">
        <v>69</v>
      </c>
      <c r="AJ11" s="22" t="s">
        <v>67</v>
      </c>
      <c r="AK11" s="22" t="s">
        <v>70</v>
      </c>
      <c r="AL11" s="23" t="s">
        <v>50</v>
      </c>
      <c r="AM11" s="21" t="s">
        <v>71</v>
      </c>
      <c r="AN11" s="22" t="s">
        <v>72</v>
      </c>
      <c r="AO11" s="23" t="s">
        <v>50</v>
      </c>
      <c r="AP11" s="21" t="s">
        <v>60</v>
      </c>
      <c r="AQ11" s="23" t="s">
        <v>50</v>
      </c>
      <c r="AR11" s="199"/>
      <c r="AS11" s="199"/>
      <c r="AT11" s="21" t="s">
        <v>73</v>
      </c>
      <c r="AU11" s="23" t="s">
        <v>50</v>
      </c>
      <c r="AV11" s="33" t="s">
        <v>74</v>
      </c>
      <c r="AW11" s="22" t="s">
        <v>50</v>
      </c>
      <c r="AX11" s="34" t="s">
        <v>75</v>
      </c>
      <c r="AY11" s="22" t="s">
        <v>50</v>
      </c>
      <c r="AZ11" s="34"/>
      <c r="BA11" s="22" t="s">
        <v>50</v>
      </c>
      <c r="BB11" s="23" t="s">
        <v>76</v>
      </c>
      <c r="BC11" s="33" t="s">
        <v>77</v>
      </c>
      <c r="BD11" s="22" t="s">
        <v>78</v>
      </c>
      <c r="BE11" s="22" t="s">
        <v>79</v>
      </c>
      <c r="BF11" s="22" t="s">
        <v>80</v>
      </c>
      <c r="BG11" s="22"/>
      <c r="BH11" s="23" t="s">
        <v>50</v>
      </c>
      <c r="BI11" s="21" t="s">
        <v>81</v>
      </c>
      <c r="BJ11" s="22" t="s">
        <v>82</v>
      </c>
      <c r="BK11" s="23" t="s">
        <v>50</v>
      </c>
      <c r="BL11" s="21" t="s">
        <v>82</v>
      </c>
      <c r="BM11" s="23" t="s">
        <v>50</v>
      </c>
      <c r="BN11" s="21" t="s">
        <v>82</v>
      </c>
      <c r="BO11" s="23" t="s">
        <v>50</v>
      </c>
      <c r="BP11" s="21"/>
      <c r="BQ11" s="32" t="s">
        <v>50</v>
      </c>
      <c r="BR11" s="199"/>
      <c r="BS11" s="179"/>
      <c r="BT11" s="21" t="s">
        <v>82</v>
      </c>
      <c r="BU11" s="23" t="s">
        <v>50</v>
      </c>
      <c r="BV11" s="186"/>
      <c r="BW11" s="35">
        <v>5.5E-2</v>
      </c>
      <c r="BX11" s="36">
        <v>16824</v>
      </c>
      <c r="BY11" s="37"/>
      <c r="BZ11" s="201"/>
      <c r="CA11" s="213"/>
      <c r="CB11" s="214"/>
      <c r="CC11" s="38" t="s">
        <v>83</v>
      </c>
      <c r="CD11" s="20" t="s">
        <v>84</v>
      </c>
      <c r="CE11" s="38" t="s">
        <v>85</v>
      </c>
    </row>
    <row r="12" spans="1:84" s="51" customFormat="1">
      <c r="A12" s="39"/>
      <c r="B12" s="39" t="s">
        <v>86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0"/>
      <c r="O12" s="41"/>
      <c r="P12" s="39"/>
      <c r="Q12" s="39"/>
      <c r="R12" s="40"/>
      <c r="S12" s="41"/>
      <c r="T12" s="42"/>
      <c r="U12" s="42"/>
      <c r="V12" s="40"/>
      <c r="W12" s="41"/>
      <c r="X12" s="40"/>
      <c r="Y12" s="41"/>
      <c r="Z12" s="39"/>
      <c r="AA12" s="39"/>
      <c r="AB12" s="39"/>
      <c r="AC12" s="39"/>
      <c r="AD12" s="40"/>
      <c r="AE12" s="41"/>
      <c r="AF12" s="39"/>
      <c r="AG12" s="39"/>
      <c r="AH12" s="40"/>
      <c r="AI12" s="41"/>
      <c r="AJ12" s="39"/>
      <c r="AK12" s="39"/>
      <c r="AL12" s="40"/>
      <c r="AM12" s="41"/>
      <c r="AN12" s="39"/>
      <c r="AO12" s="40"/>
      <c r="AP12" s="41"/>
      <c r="AQ12" s="40"/>
      <c r="AR12" s="43"/>
      <c r="AS12" s="41"/>
      <c r="AT12" s="41"/>
      <c r="AU12" s="44"/>
      <c r="AV12" s="41"/>
      <c r="AW12" s="39"/>
      <c r="AX12" s="39"/>
      <c r="AY12" s="39"/>
      <c r="AZ12" s="39"/>
      <c r="BA12" s="39"/>
      <c r="BB12" s="40"/>
      <c r="BC12" s="41"/>
      <c r="BD12" s="39"/>
      <c r="BE12" s="39"/>
      <c r="BF12" s="39"/>
      <c r="BG12" s="39"/>
      <c r="BH12" s="40"/>
      <c r="BI12" s="41"/>
      <c r="BJ12" s="39"/>
      <c r="BK12" s="40"/>
      <c r="BL12" s="41"/>
      <c r="BM12" s="40"/>
      <c r="BN12" s="41"/>
      <c r="BO12" s="40"/>
      <c r="BP12" s="41"/>
      <c r="BQ12" s="40"/>
      <c r="BR12" s="43"/>
      <c r="BS12" s="45"/>
      <c r="BT12" s="41"/>
      <c r="BU12" s="40"/>
      <c r="BV12" s="46"/>
      <c r="BW12" s="46"/>
      <c r="BX12" s="46"/>
      <c r="BY12" s="46"/>
      <c r="BZ12" s="47"/>
      <c r="CA12" s="48"/>
      <c r="CB12" s="49"/>
      <c r="CC12" s="50"/>
      <c r="CD12" s="50"/>
      <c r="CE12" s="50"/>
    </row>
    <row r="13" spans="1:84" ht="12" thickBot="1">
      <c r="A13" s="52"/>
      <c r="B13" s="53" t="s">
        <v>87</v>
      </c>
      <c r="C13" s="54">
        <v>1</v>
      </c>
      <c r="D13" s="55">
        <f>SUM((F17+AS17)/C17)</f>
        <v>9581.4193548387102</v>
      </c>
      <c r="E13" s="56">
        <v>1.25</v>
      </c>
      <c r="F13" s="57">
        <f>SUM(C13*D13)*E13</f>
        <v>11976.774193548388</v>
      </c>
      <c r="G13" s="58" t="s">
        <v>9</v>
      </c>
      <c r="H13" s="59"/>
      <c r="I13" s="60"/>
      <c r="J13" s="61"/>
      <c r="K13" s="58"/>
      <c r="L13" s="62">
        <v>0</v>
      </c>
      <c r="M13" s="59"/>
      <c r="N13" s="60">
        <f>F13*L13</f>
        <v>0</v>
      </c>
      <c r="O13" s="58"/>
      <c r="P13" s="59"/>
      <c r="Q13" s="62">
        <v>0.1</v>
      </c>
      <c r="R13" s="60">
        <f>SUM(F13*Q13)</f>
        <v>1197.6774193548388</v>
      </c>
      <c r="S13" s="63"/>
      <c r="T13" s="64"/>
      <c r="U13" s="64"/>
      <c r="V13" s="65"/>
      <c r="W13" s="58"/>
      <c r="X13" s="60"/>
      <c r="Y13" s="58"/>
      <c r="Z13" s="59"/>
      <c r="AA13" s="59"/>
      <c r="AB13" s="59"/>
      <c r="AC13" s="66"/>
      <c r="AD13" s="60"/>
      <c r="AE13" s="58"/>
      <c r="AF13" s="59"/>
      <c r="AG13" s="59"/>
      <c r="AH13" s="60"/>
      <c r="AI13" s="63"/>
      <c r="AJ13" s="62"/>
      <c r="AK13" s="62"/>
      <c r="AL13" s="65"/>
      <c r="AM13" s="58"/>
      <c r="AN13" s="59"/>
      <c r="AO13" s="60"/>
      <c r="AP13" s="58"/>
      <c r="AQ13" s="60"/>
      <c r="AR13" s="67">
        <f>H13+K13+L13+M13+O13+P13+Q13+S13+U13+W13+Y13+Z13+AA13+AB13+AE13+AF13+AG13+AI13+AJ13+AK13+AM13+AN13+AP13</f>
        <v>0.1</v>
      </c>
      <c r="AS13" s="68">
        <f>I13+N13+R13+T13+V13+X13+AD13+AH13+AL13+AO13+AQ13</f>
        <v>1197.6774193548388</v>
      </c>
      <c r="AT13" s="58"/>
      <c r="AU13" s="69">
        <v>900</v>
      </c>
      <c r="AV13" s="63"/>
      <c r="AW13" s="59"/>
      <c r="AX13" s="59"/>
      <c r="AY13" s="59"/>
      <c r="AZ13" s="59"/>
      <c r="BA13" s="59"/>
      <c r="BB13" s="60"/>
      <c r="BC13" s="58"/>
      <c r="BD13" s="59"/>
      <c r="BE13" s="59"/>
      <c r="BF13" s="59"/>
      <c r="BG13" s="59"/>
      <c r="BH13" s="60"/>
      <c r="BI13" s="58"/>
      <c r="BJ13" s="59"/>
      <c r="BK13" s="60"/>
      <c r="BL13" s="58"/>
      <c r="BM13" s="60"/>
      <c r="BN13" s="58"/>
      <c r="BO13" s="60"/>
      <c r="BP13" s="58"/>
      <c r="BQ13" s="60"/>
      <c r="BR13" s="70">
        <f>AW13+AY13+BA13+BH13+BK13+BM13+BO13+BQ13</f>
        <v>0</v>
      </c>
      <c r="BS13" s="71">
        <f>AS13+BR13+F13</f>
        <v>13174.451612903227</v>
      </c>
      <c r="BT13" s="72">
        <v>1.8</v>
      </c>
      <c r="BU13" s="60">
        <f>BS13*BT13</f>
        <v>23714.012903225808</v>
      </c>
      <c r="BV13" s="71">
        <f>SUM(AU13+BS13+BU13)</f>
        <v>37788.464516129039</v>
      </c>
      <c r="BW13" s="71"/>
      <c r="BX13" s="71"/>
      <c r="BY13" s="71"/>
      <c r="BZ13" s="71"/>
      <c r="CA13" s="73">
        <f>BV13+BZ13</f>
        <v>37788.464516129039</v>
      </c>
      <c r="CB13" s="74">
        <f>CA13*12</f>
        <v>453461.57419354847</v>
      </c>
      <c r="CC13" s="75">
        <f>(CA13*0.065)</f>
        <v>2456.2501935483874</v>
      </c>
      <c r="CD13" s="75">
        <f>(CA13+CC13)*8.5%</f>
        <v>3420.8007503225817</v>
      </c>
      <c r="CE13" s="75">
        <f>(CC13+CD13)*4+CB13</f>
        <v>476969.77796903235</v>
      </c>
    </row>
    <row r="14" spans="1:84" ht="22.5" thickBot="1">
      <c r="A14" s="76" t="s">
        <v>88</v>
      </c>
      <c r="B14" s="77"/>
      <c r="C14" s="78">
        <v>1</v>
      </c>
      <c r="D14" s="78"/>
      <c r="E14" s="78"/>
      <c r="F14" s="78">
        <f>F13</f>
        <v>11976.774193548388</v>
      </c>
      <c r="G14" s="78"/>
      <c r="H14" s="78"/>
      <c r="I14" s="78">
        <f>I13</f>
        <v>0</v>
      </c>
      <c r="J14" s="78"/>
      <c r="K14" s="78">
        <f t="shared" ref="K14:BX14" si="0">K13</f>
        <v>0</v>
      </c>
      <c r="L14" s="78">
        <f t="shared" si="0"/>
        <v>0</v>
      </c>
      <c r="M14" s="78">
        <f t="shared" si="0"/>
        <v>0</v>
      </c>
      <c r="N14" s="78">
        <f t="shared" si="0"/>
        <v>0</v>
      </c>
      <c r="O14" s="78">
        <f t="shared" si="0"/>
        <v>0</v>
      </c>
      <c r="P14" s="78">
        <f t="shared" si="0"/>
        <v>0</v>
      </c>
      <c r="Q14" s="78">
        <f t="shared" si="0"/>
        <v>0.1</v>
      </c>
      <c r="R14" s="78">
        <f t="shared" si="0"/>
        <v>1197.6774193548388</v>
      </c>
      <c r="S14" s="78">
        <f t="shared" si="0"/>
        <v>0</v>
      </c>
      <c r="T14" s="78">
        <f t="shared" si="0"/>
        <v>0</v>
      </c>
      <c r="U14" s="78">
        <f t="shared" si="0"/>
        <v>0</v>
      </c>
      <c r="V14" s="78">
        <f t="shared" si="0"/>
        <v>0</v>
      </c>
      <c r="W14" s="78">
        <f t="shared" si="0"/>
        <v>0</v>
      </c>
      <c r="X14" s="78">
        <f t="shared" si="0"/>
        <v>0</v>
      </c>
      <c r="Y14" s="78">
        <f t="shared" si="0"/>
        <v>0</v>
      </c>
      <c r="Z14" s="78">
        <f t="shared" si="0"/>
        <v>0</v>
      </c>
      <c r="AA14" s="78">
        <f t="shared" si="0"/>
        <v>0</v>
      </c>
      <c r="AB14" s="78">
        <f t="shared" si="0"/>
        <v>0</v>
      </c>
      <c r="AC14" s="78"/>
      <c r="AD14" s="78">
        <f t="shared" si="0"/>
        <v>0</v>
      </c>
      <c r="AE14" s="78">
        <f t="shared" si="0"/>
        <v>0</v>
      </c>
      <c r="AF14" s="78">
        <f t="shared" si="0"/>
        <v>0</v>
      </c>
      <c r="AG14" s="78">
        <f t="shared" si="0"/>
        <v>0</v>
      </c>
      <c r="AH14" s="78">
        <f t="shared" si="0"/>
        <v>0</v>
      </c>
      <c r="AI14" s="78">
        <f t="shared" si="0"/>
        <v>0</v>
      </c>
      <c r="AJ14" s="78">
        <f t="shared" si="0"/>
        <v>0</v>
      </c>
      <c r="AK14" s="78">
        <f t="shared" si="0"/>
        <v>0</v>
      </c>
      <c r="AL14" s="78">
        <f t="shared" si="0"/>
        <v>0</v>
      </c>
      <c r="AM14" s="78">
        <f t="shared" si="0"/>
        <v>0</v>
      </c>
      <c r="AN14" s="78">
        <f t="shared" si="0"/>
        <v>0</v>
      </c>
      <c r="AO14" s="78">
        <f t="shared" si="0"/>
        <v>0</v>
      </c>
      <c r="AP14" s="78">
        <f t="shared" si="0"/>
        <v>0</v>
      </c>
      <c r="AQ14" s="78">
        <f t="shared" si="0"/>
        <v>0</v>
      </c>
      <c r="AR14" s="78">
        <f t="shared" si="0"/>
        <v>0.1</v>
      </c>
      <c r="AS14" s="78">
        <f t="shared" si="0"/>
        <v>1197.6774193548388</v>
      </c>
      <c r="AT14" s="78">
        <f t="shared" si="0"/>
        <v>0</v>
      </c>
      <c r="AU14" s="78">
        <f t="shared" si="0"/>
        <v>900</v>
      </c>
      <c r="AV14" s="78">
        <f t="shared" si="0"/>
        <v>0</v>
      </c>
      <c r="AW14" s="78">
        <f t="shared" si="0"/>
        <v>0</v>
      </c>
      <c r="AX14" s="78">
        <f t="shared" si="0"/>
        <v>0</v>
      </c>
      <c r="AY14" s="78">
        <f t="shared" si="0"/>
        <v>0</v>
      </c>
      <c r="AZ14" s="78">
        <f t="shared" si="0"/>
        <v>0</v>
      </c>
      <c r="BA14" s="78">
        <f t="shared" si="0"/>
        <v>0</v>
      </c>
      <c r="BB14" s="78">
        <f t="shared" si="0"/>
        <v>0</v>
      </c>
      <c r="BC14" s="78">
        <f t="shared" si="0"/>
        <v>0</v>
      </c>
      <c r="BD14" s="78">
        <f t="shared" si="0"/>
        <v>0</v>
      </c>
      <c r="BE14" s="78">
        <f t="shared" si="0"/>
        <v>0</v>
      </c>
      <c r="BF14" s="78">
        <f t="shared" si="0"/>
        <v>0</v>
      </c>
      <c r="BG14" s="78">
        <f t="shared" si="0"/>
        <v>0</v>
      </c>
      <c r="BH14" s="78">
        <f t="shared" si="0"/>
        <v>0</v>
      </c>
      <c r="BI14" s="78">
        <f t="shared" si="0"/>
        <v>0</v>
      </c>
      <c r="BJ14" s="78">
        <f t="shared" si="0"/>
        <v>0</v>
      </c>
      <c r="BK14" s="78">
        <f t="shared" si="0"/>
        <v>0</v>
      </c>
      <c r="BL14" s="78">
        <f t="shared" si="0"/>
        <v>0</v>
      </c>
      <c r="BM14" s="78">
        <f t="shared" si="0"/>
        <v>0</v>
      </c>
      <c r="BN14" s="78">
        <f t="shared" si="0"/>
        <v>0</v>
      </c>
      <c r="BO14" s="78">
        <f t="shared" si="0"/>
        <v>0</v>
      </c>
      <c r="BP14" s="78">
        <f t="shared" si="0"/>
        <v>0</v>
      </c>
      <c r="BQ14" s="78">
        <f t="shared" si="0"/>
        <v>0</v>
      </c>
      <c r="BR14" s="78">
        <f t="shared" si="0"/>
        <v>0</v>
      </c>
      <c r="BS14" s="78">
        <f t="shared" si="0"/>
        <v>13174.451612903227</v>
      </c>
      <c r="BT14" s="78">
        <f t="shared" si="0"/>
        <v>1.8</v>
      </c>
      <c r="BU14" s="78">
        <f t="shared" si="0"/>
        <v>23714.012903225808</v>
      </c>
      <c r="BV14" s="78">
        <f t="shared" si="0"/>
        <v>37788.464516129039</v>
      </c>
      <c r="BW14" s="78"/>
      <c r="BX14" s="78">
        <f t="shared" si="0"/>
        <v>0</v>
      </c>
      <c r="BY14" s="78"/>
      <c r="BZ14" s="78">
        <f>BZ13</f>
        <v>0</v>
      </c>
      <c r="CA14" s="79">
        <f>CA13</f>
        <v>37788.464516129039</v>
      </c>
      <c r="CB14" s="79">
        <f>CB13</f>
        <v>453461.57419354847</v>
      </c>
      <c r="CC14" s="80">
        <f>CC13</f>
        <v>2456.2501935483874</v>
      </c>
      <c r="CD14" s="80">
        <f>CD13</f>
        <v>3420.8007503225817</v>
      </c>
      <c r="CE14" s="81">
        <f>SUM(CE13)</f>
        <v>476969.77796903235</v>
      </c>
    </row>
    <row r="15" spans="1:84">
      <c r="A15" s="202" t="s">
        <v>89</v>
      </c>
      <c r="B15" s="203"/>
      <c r="C15" s="82"/>
      <c r="D15" s="83"/>
      <c r="E15" s="84"/>
      <c r="F15" s="85"/>
      <c r="G15" s="86"/>
      <c r="H15" s="84"/>
      <c r="I15" s="87"/>
      <c r="J15" s="88"/>
      <c r="K15" s="86"/>
      <c r="L15" s="84"/>
      <c r="M15" s="84"/>
      <c r="N15" s="87"/>
      <c r="O15" s="86"/>
      <c r="P15" s="84"/>
      <c r="Q15" s="84"/>
      <c r="R15" s="87"/>
      <c r="S15" s="86"/>
      <c r="T15" s="88"/>
      <c r="U15" s="88"/>
      <c r="V15" s="87"/>
      <c r="W15" s="86"/>
      <c r="X15" s="87"/>
      <c r="Y15" s="86"/>
      <c r="Z15" s="84"/>
      <c r="AA15" s="84"/>
      <c r="AB15" s="84"/>
      <c r="AC15" s="85"/>
      <c r="AD15" s="87"/>
      <c r="AE15" s="86"/>
      <c r="AF15" s="84"/>
      <c r="AG15" s="84"/>
      <c r="AH15" s="87"/>
      <c r="AI15" s="86"/>
      <c r="AJ15" s="84"/>
      <c r="AK15" s="84"/>
      <c r="AL15" s="87"/>
      <c r="AM15" s="86"/>
      <c r="AN15" s="84"/>
      <c r="AO15" s="87"/>
      <c r="AP15" s="86"/>
      <c r="AQ15" s="87"/>
      <c r="AR15" s="89"/>
      <c r="AS15" s="90"/>
      <c r="AT15" s="86"/>
      <c r="AU15" s="91"/>
      <c r="AV15" s="86"/>
      <c r="AW15" s="84"/>
      <c r="AX15" s="84"/>
      <c r="AY15" s="84"/>
      <c r="AZ15" s="84"/>
      <c r="BA15" s="84"/>
      <c r="BB15" s="60"/>
      <c r="BC15" s="86"/>
      <c r="BD15" s="84"/>
      <c r="BE15" s="84"/>
      <c r="BF15" s="84"/>
      <c r="BG15" s="84"/>
      <c r="BH15" s="87"/>
      <c r="BI15" s="86"/>
      <c r="BJ15" s="84"/>
      <c r="BK15" s="87"/>
      <c r="BL15" s="86"/>
      <c r="BM15" s="87"/>
      <c r="BN15" s="86"/>
      <c r="BO15" s="87"/>
      <c r="BP15" s="86"/>
      <c r="BQ15" s="87"/>
      <c r="BR15" s="89"/>
      <c r="BS15" s="92"/>
      <c r="BT15" s="93"/>
      <c r="BU15" s="87"/>
      <c r="BV15" s="71"/>
      <c r="BW15" s="71"/>
      <c r="BX15" s="71"/>
      <c r="BY15" s="71"/>
      <c r="BZ15" s="71"/>
      <c r="CA15" s="73"/>
      <c r="CB15" s="94"/>
      <c r="CC15" s="95"/>
      <c r="CD15" s="95"/>
      <c r="CE15" s="96"/>
      <c r="CF15" s="204">
        <v>1661681.15</v>
      </c>
    </row>
    <row r="16" spans="1:84" s="105" customFormat="1" ht="12" thickBot="1">
      <c r="A16" s="97"/>
      <c r="B16" s="98" t="s">
        <v>90</v>
      </c>
      <c r="C16" s="99">
        <v>3.1</v>
      </c>
      <c r="D16" s="55">
        <v>4200</v>
      </c>
      <c r="E16" s="59"/>
      <c r="F16" s="100">
        <f>D16*C16</f>
        <v>13020</v>
      </c>
      <c r="G16" s="58">
        <v>1</v>
      </c>
      <c r="H16" s="62">
        <v>0.12</v>
      </c>
      <c r="I16" s="60">
        <f>F16*H16</f>
        <v>1562.3999999999999</v>
      </c>
      <c r="J16" s="64">
        <v>0.1</v>
      </c>
      <c r="K16" s="72"/>
      <c r="L16" s="62"/>
      <c r="M16" s="101">
        <v>0.2</v>
      </c>
      <c r="N16" s="60">
        <f>((M16*D16)*2)+(J16*D16)</f>
        <v>2100</v>
      </c>
      <c r="O16" s="63"/>
      <c r="P16" s="102"/>
      <c r="Q16" s="102"/>
      <c r="R16" s="60"/>
      <c r="S16" s="63">
        <v>0.15</v>
      </c>
      <c r="T16" s="64">
        <f>F16*S16</f>
        <v>1953</v>
      </c>
      <c r="U16" s="64">
        <v>0.05</v>
      </c>
      <c r="V16" s="65">
        <f>F16*U16</f>
        <v>651</v>
      </c>
      <c r="W16" s="63"/>
      <c r="X16" s="65">
        <f>F16*W16</f>
        <v>0</v>
      </c>
      <c r="Y16" s="63"/>
      <c r="Z16" s="62"/>
      <c r="AA16" s="62"/>
      <c r="AB16" s="62"/>
      <c r="AC16" s="103"/>
      <c r="AD16" s="65"/>
      <c r="AE16" s="63"/>
      <c r="AF16" s="62"/>
      <c r="AG16" s="62"/>
      <c r="AH16" s="65"/>
      <c r="AI16" s="63"/>
      <c r="AJ16" s="62"/>
      <c r="AK16" s="62"/>
      <c r="AL16" s="65"/>
      <c r="AM16" s="63"/>
      <c r="AN16" s="62"/>
      <c r="AO16" s="65"/>
      <c r="AP16" s="63">
        <v>0.8</v>
      </c>
      <c r="AQ16" s="65">
        <f>F16*AP16</f>
        <v>10416</v>
      </c>
      <c r="AR16" s="67">
        <f>H16+K16+L16+M16+O16+P16+Q16+S16+U16+W16+Y16+Z16+AA16+AB16+AE16+AF16+AG16+AI16+AJ16+AK16+AM16+AN16+AP16</f>
        <v>1.32</v>
      </c>
      <c r="AS16" s="68">
        <f>I16+N16+R16+T16+V16+X16+AD16+AH16+AL16+AO16+AQ16</f>
        <v>16682.400000000001</v>
      </c>
      <c r="AT16" s="63">
        <v>0.25</v>
      </c>
      <c r="AU16" s="69">
        <f>F16*AT16</f>
        <v>3255</v>
      </c>
      <c r="AV16" s="63"/>
      <c r="AW16" s="62"/>
      <c r="AX16" s="62"/>
      <c r="AY16" s="62"/>
      <c r="AZ16" s="62"/>
      <c r="BA16" s="59"/>
      <c r="BB16" s="60"/>
      <c r="BC16" s="63"/>
      <c r="BD16" s="62"/>
      <c r="BE16" s="62"/>
      <c r="BF16" s="62"/>
      <c r="BG16" s="62"/>
      <c r="BH16" s="60"/>
      <c r="BI16" s="63"/>
      <c r="BJ16" s="62"/>
      <c r="BK16" s="65"/>
      <c r="BL16" s="63"/>
      <c r="BM16" s="65"/>
      <c r="BN16" s="63"/>
      <c r="BO16" s="65"/>
      <c r="BP16" s="63"/>
      <c r="BQ16" s="65"/>
      <c r="BR16" s="70">
        <f>AW16+AY16+BA16+BH16+BK16+BM16+BO16+BQ16</f>
        <v>0</v>
      </c>
      <c r="BS16" s="71">
        <f>AS16+BR16+AU16+F16</f>
        <v>32957.4</v>
      </c>
      <c r="BT16" s="72">
        <v>1.8</v>
      </c>
      <c r="BU16" s="60">
        <f>BS16*BT16</f>
        <v>59323.320000000007</v>
      </c>
      <c r="BV16" s="71">
        <f>SUM(BS16+BU16)</f>
        <v>92280.72</v>
      </c>
      <c r="BW16" s="71"/>
      <c r="BX16" s="71"/>
      <c r="BY16" s="71"/>
      <c r="BZ16" s="71">
        <f>BZ10*BV16</f>
        <v>30452.637600000002</v>
      </c>
      <c r="CA16" s="73">
        <f>BV16+BZ16</f>
        <v>122733.3576</v>
      </c>
      <c r="CB16" s="74">
        <f>CA16*12</f>
        <v>1472800.2912000001</v>
      </c>
      <c r="CC16" s="104">
        <f>(CA16*0.065)</f>
        <v>7977.6682440000004</v>
      </c>
      <c r="CD16" s="104">
        <f>(CA16+CC16)*15.6%</f>
        <v>20390.920031664002</v>
      </c>
      <c r="CE16" s="104">
        <f>(CC16+CD16)*4+CB16</f>
        <v>1586274.6443026562</v>
      </c>
      <c r="CF16" s="204"/>
    </row>
    <row r="17" spans="1:84" ht="22.5" thickBot="1">
      <c r="A17" s="106" t="s">
        <v>91</v>
      </c>
      <c r="B17" s="107"/>
      <c r="C17" s="108">
        <f>C16</f>
        <v>3.1</v>
      </c>
      <c r="D17" s="108"/>
      <c r="E17" s="108"/>
      <c r="F17" s="108">
        <f>F16</f>
        <v>13020</v>
      </c>
      <c r="G17" s="108"/>
      <c r="H17" s="108">
        <f>H16</f>
        <v>0.12</v>
      </c>
      <c r="I17" s="108">
        <f t="shared" ref="I17:BU17" si="1">I16</f>
        <v>1562.3999999999999</v>
      </c>
      <c r="J17" s="108"/>
      <c r="K17" s="108">
        <f t="shared" si="1"/>
        <v>0</v>
      </c>
      <c r="L17" s="108">
        <f t="shared" si="1"/>
        <v>0</v>
      </c>
      <c r="M17" s="109">
        <f t="shared" si="1"/>
        <v>0.2</v>
      </c>
      <c r="N17" s="108">
        <f t="shared" si="1"/>
        <v>2100</v>
      </c>
      <c r="O17" s="108">
        <f t="shared" si="1"/>
        <v>0</v>
      </c>
      <c r="P17" s="108">
        <f t="shared" si="1"/>
        <v>0</v>
      </c>
      <c r="Q17" s="108">
        <f t="shared" si="1"/>
        <v>0</v>
      </c>
      <c r="R17" s="108">
        <f t="shared" si="1"/>
        <v>0</v>
      </c>
      <c r="S17" s="108">
        <f t="shared" si="1"/>
        <v>0.15</v>
      </c>
      <c r="T17" s="108">
        <f t="shared" si="1"/>
        <v>1953</v>
      </c>
      <c r="U17" s="108">
        <f t="shared" si="1"/>
        <v>0.05</v>
      </c>
      <c r="V17" s="108">
        <f t="shared" si="1"/>
        <v>651</v>
      </c>
      <c r="W17" s="108">
        <f t="shared" si="1"/>
        <v>0</v>
      </c>
      <c r="X17" s="108">
        <f t="shared" si="1"/>
        <v>0</v>
      </c>
      <c r="Y17" s="108">
        <f t="shared" si="1"/>
        <v>0</v>
      </c>
      <c r="Z17" s="108">
        <f t="shared" si="1"/>
        <v>0</v>
      </c>
      <c r="AA17" s="108">
        <f t="shared" si="1"/>
        <v>0</v>
      </c>
      <c r="AB17" s="108">
        <f t="shared" si="1"/>
        <v>0</v>
      </c>
      <c r="AC17" s="108"/>
      <c r="AD17" s="108">
        <f t="shared" si="1"/>
        <v>0</v>
      </c>
      <c r="AE17" s="108">
        <f t="shared" si="1"/>
        <v>0</v>
      </c>
      <c r="AF17" s="108">
        <f t="shared" si="1"/>
        <v>0</v>
      </c>
      <c r="AG17" s="108">
        <f t="shared" si="1"/>
        <v>0</v>
      </c>
      <c r="AH17" s="108">
        <f t="shared" si="1"/>
        <v>0</v>
      </c>
      <c r="AI17" s="108">
        <f t="shared" si="1"/>
        <v>0</v>
      </c>
      <c r="AJ17" s="108">
        <f t="shared" si="1"/>
        <v>0</v>
      </c>
      <c r="AK17" s="108">
        <f t="shared" si="1"/>
        <v>0</v>
      </c>
      <c r="AL17" s="108">
        <f t="shared" si="1"/>
        <v>0</v>
      </c>
      <c r="AM17" s="108">
        <f t="shared" si="1"/>
        <v>0</v>
      </c>
      <c r="AN17" s="108">
        <f t="shared" si="1"/>
        <v>0</v>
      </c>
      <c r="AO17" s="108">
        <f t="shared" si="1"/>
        <v>0</v>
      </c>
      <c r="AP17" s="108">
        <f t="shared" si="1"/>
        <v>0.8</v>
      </c>
      <c r="AQ17" s="108">
        <f t="shared" si="1"/>
        <v>10416</v>
      </c>
      <c r="AR17" s="108">
        <f t="shared" si="1"/>
        <v>1.32</v>
      </c>
      <c r="AS17" s="108">
        <f t="shared" si="1"/>
        <v>16682.400000000001</v>
      </c>
      <c r="AT17" s="108">
        <f t="shared" si="1"/>
        <v>0.25</v>
      </c>
      <c r="AU17" s="108">
        <f t="shared" si="1"/>
        <v>3255</v>
      </c>
      <c r="AV17" s="108">
        <f t="shared" si="1"/>
        <v>0</v>
      </c>
      <c r="AW17" s="108">
        <f t="shared" si="1"/>
        <v>0</v>
      </c>
      <c r="AX17" s="108">
        <f t="shared" si="1"/>
        <v>0</v>
      </c>
      <c r="AY17" s="108">
        <f t="shared" si="1"/>
        <v>0</v>
      </c>
      <c r="AZ17" s="108">
        <f t="shared" si="1"/>
        <v>0</v>
      </c>
      <c r="BA17" s="108">
        <f t="shared" si="1"/>
        <v>0</v>
      </c>
      <c r="BB17" s="108">
        <f t="shared" si="1"/>
        <v>0</v>
      </c>
      <c r="BC17" s="108">
        <f t="shared" si="1"/>
        <v>0</v>
      </c>
      <c r="BD17" s="108">
        <f t="shared" si="1"/>
        <v>0</v>
      </c>
      <c r="BE17" s="108">
        <f t="shared" si="1"/>
        <v>0</v>
      </c>
      <c r="BF17" s="108">
        <f t="shared" si="1"/>
        <v>0</v>
      </c>
      <c r="BG17" s="108">
        <f t="shared" si="1"/>
        <v>0</v>
      </c>
      <c r="BH17" s="108">
        <f t="shared" si="1"/>
        <v>0</v>
      </c>
      <c r="BI17" s="110">
        <f t="shared" si="1"/>
        <v>0</v>
      </c>
      <c r="BJ17" s="110">
        <f t="shared" si="1"/>
        <v>0</v>
      </c>
      <c r="BK17" s="110">
        <f t="shared" si="1"/>
        <v>0</v>
      </c>
      <c r="BL17" s="108">
        <f t="shared" si="1"/>
        <v>0</v>
      </c>
      <c r="BM17" s="108">
        <f t="shared" si="1"/>
        <v>0</v>
      </c>
      <c r="BN17" s="108">
        <f t="shared" si="1"/>
        <v>0</v>
      </c>
      <c r="BO17" s="108">
        <f t="shared" si="1"/>
        <v>0</v>
      </c>
      <c r="BP17" s="108">
        <f t="shared" si="1"/>
        <v>0</v>
      </c>
      <c r="BQ17" s="108">
        <f t="shared" si="1"/>
        <v>0</v>
      </c>
      <c r="BR17" s="108">
        <f t="shared" si="1"/>
        <v>0</v>
      </c>
      <c r="BS17" s="108">
        <f t="shared" si="1"/>
        <v>32957.4</v>
      </c>
      <c r="BT17" s="108">
        <f t="shared" si="1"/>
        <v>1.8</v>
      </c>
      <c r="BU17" s="108">
        <f t="shared" si="1"/>
        <v>59323.320000000007</v>
      </c>
      <c r="BV17" s="108">
        <f t="shared" ref="BV17:CD17" si="2">BV16</f>
        <v>92280.72</v>
      </c>
      <c r="BW17" s="108"/>
      <c r="BX17" s="108">
        <f t="shared" si="2"/>
        <v>0</v>
      </c>
      <c r="BY17" s="108"/>
      <c r="BZ17" s="108">
        <f t="shared" si="2"/>
        <v>30452.637600000002</v>
      </c>
      <c r="CA17" s="111">
        <f t="shared" si="2"/>
        <v>122733.3576</v>
      </c>
      <c r="CB17" s="111">
        <f t="shared" si="2"/>
        <v>1472800.2912000001</v>
      </c>
      <c r="CC17" s="80">
        <f t="shared" si="2"/>
        <v>7977.6682440000004</v>
      </c>
      <c r="CD17" s="80">
        <f t="shared" si="2"/>
        <v>20390.920031664002</v>
      </c>
      <c r="CE17" s="81">
        <f>SUM(CE16)</f>
        <v>1586274.6443026562</v>
      </c>
      <c r="CF17" s="204"/>
    </row>
    <row r="18" spans="1:84" ht="12" thickBot="1">
      <c r="A18" s="97"/>
      <c r="B18" s="98" t="s">
        <v>92</v>
      </c>
      <c r="C18" s="112">
        <v>0.5</v>
      </c>
      <c r="D18" s="55">
        <v>4200</v>
      </c>
      <c r="E18" s="59"/>
      <c r="F18" s="113">
        <f>C18*D18</f>
        <v>2100</v>
      </c>
      <c r="G18" s="58">
        <v>1</v>
      </c>
      <c r="H18" s="62">
        <v>0</v>
      </c>
      <c r="I18" s="60">
        <f>F18*H18</f>
        <v>0</v>
      </c>
      <c r="J18" s="61"/>
      <c r="K18" s="72"/>
      <c r="L18" s="62">
        <v>0.45</v>
      </c>
      <c r="M18" s="102"/>
      <c r="N18" s="60">
        <f>F18*L18</f>
        <v>945</v>
      </c>
      <c r="O18" s="63"/>
      <c r="P18" s="102"/>
      <c r="Q18" s="102"/>
      <c r="R18" s="60"/>
      <c r="S18" s="63">
        <v>0.15</v>
      </c>
      <c r="T18" s="64">
        <f>F18*S18</f>
        <v>315</v>
      </c>
      <c r="U18" s="64">
        <v>0.05</v>
      </c>
      <c r="V18" s="65">
        <f>F18*U18</f>
        <v>105</v>
      </c>
      <c r="W18" s="63"/>
      <c r="X18" s="65"/>
      <c r="Y18" s="63"/>
      <c r="Z18" s="62"/>
      <c r="AA18" s="101">
        <v>0</v>
      </c>
      <c r="AB18" s="62"/>
      <c r="AC18" s="103"/>
      <c r="AD18" s="65">
        <f>F18*AA18</f>
        <v>0</v>
      </c>
      <c r="AE18" s="63"/>
      <c r="AF18" s="62"/>
      <c r="AG18" s="62"/>
      <c r="AH18" s="65"/>
      <c r="AI18" s="63"/>
      <c r="AJ18" s="62"/>
      <c r="AK18" s="62">
        <v>0</v>
      </c>
      <c r="AL18" s="65">
        <f>D18*(AI18+AJ18+AK18)</f>
        <v>0</v>
      </c>
      <c r="AM18" s="63"/>
      <c r="AN18" s="62"/>
      <c r="AO18" s="65"/>
      <c r="AP18" s="63">
        <v>0.8</v>
      </c>
      <c r="AQ18" s="65">
        <f>F18*AP18</f>
        <v>1680</v>
      </c>
      <c r="AR18" s="67">
        <f>H18+K18+L18+M18+O18+P18+Q18+S18+U18+W18+Y18+Z18+AA18+AB18+AE18+AF18+AG18+AI18+AJ18+AK18+AM18+AN18+AP18</f>
        <v>1.4500000000000002</v>
      </c>
      <c r="AS18" s="68">
        <f>I18+N18+R18+T18+V18+X18+AD18+AH18+AL18+AO18+AQ18</f>
        <v>3045</v>
      </c>
      <c r="AT18" s="63">
        <v>0.25</v>
      </c>
      <c r="AU18" s="69">
        <f>AT18*F18</f>
        <v>525</v>
      </c>
      <c r="AV18" s="63"/>
      <c r="AW18" s="62"/>
      <c r="AX18" s="62"/>
      <c r="AY18" s="62"/>
      <c r="AZ18" s="62"/>
      <c r="BA18" s="62"/>
      <c r="BB18" s="60"/>
      <c r="BC18" s="63"/>
      <c r="BD18" s="62"/>
      <c r="BE18" s="62"/>
      <c r="BF18" s="62"/>
      <c r="BG18" s="62"/>
      <c r="BH18" s="60"/>
      <c r="BI18" s="63"/>
      <c r="BJ18" s="62"/>
      <c r="BK18" s="65"/>
      <c r="BL18" s="63"/>
      <c r="BM18" s="65"/>
      <c r="BN18" s="63"/>
      <c r="BO18" s="65"/>
      <c r="BP18" s="63"/>
      <c r="BQ18" s="65"/>
      <c r="BR18" s="70">
        <f>AW18+AY18+BA18+BH18+BK18+BM18+BO18+BQ18</f>
        <v>0</v>
      </c>
      <c r="BS18" s="71">
        <f>AS18+BR18+AU18+F18</f>
        <v>5670</v>
      </c>
      <c r="BT18" s="72">
        <v>1.8</v>
      </c>
      <c r="BU18" s="60">
        <f>BS18*BT18</f>
        <v>10206</v>
      </c>
      <c r="BV18" s="71">
        <f>SUM(BS18+BU18)</f>
        <v>15876</v>
      </c>
      <c r="BW18" s="71"/>
      <c r="BX18" s="71"/>
      <c r="BY18" s="71"/>
      <c r="BZ18" s="71">
        <f>BZ10*BV18</f>
        <v>5239.08</v>
      </c>
      <c r="CA18" s="73">
        <f>BV18+BZ18</f>
        <v>21115.08</v>
      </c>
      <c r="CB18" s="74">
        <f>CA18*12</f>
        <v>253380.96000000002</v>
      </c>
      <c r="CC18" s="114">
        <f>(CA18*0.065)</f>
        <v>1372.4802000000002</v>
      </c>
      <c r="CD18" s="114">
        <f>(CA18+CC18)*15.6%</f>
        <v>3508.0593912000004</v>
      </c>
      <c r="CE18" s="114">
        <f>(CC18+CD18)*4+CB18</f>
        <v>272903.1183648</v>
      </c>
      <c r="CF18" s="204"/>
    </row>
    <row r="19" spans="1:84" s="115" customFormat="1" ht="22.5" thickBot="1">
      <c r="A19" s="106" t="s">
        <v>93</v>
      </c>
      <c r="B19" s="107"/>
      <c r="C19" s="108">
        <f>SUM( C18:C18)</f>
        <v>0.5</v>
      </c>
      <c r="D19" s="108"/>
      <c r="E19" s="108"/>
      <c r="F19" s="108">
        <f>F18</f>
        <v>2100</v>
      </c>
      <c r="G19" s="108"/>
      <c r="H19" s="108"/>
      <c r="I19" s="108">
        <f>I18</f>
        <v>0</v>
      </c>
      <c r="J19" s="108"/>
      <c r="K19" s="108">
        <f t="shared" ref="K19:BX19" si="3">K18</f>
        <v>0</v>
      </c>
      <c r="L19" s="109">
        <f t="shared" si="3"/>
        <v>0.45</v>
      </c>
      <c r="M19" s="109">
        <f t="shared" si="3"/>
        <v>0</v>
      </c>
      <c r="N19" s="108">
        <f t="shared" si="3"/>
        <v>945</v>
      </c>
      <c r="O19" s="108">
        <f t="shared" si="3"/>
        <v>0</v>
      </c>
      <c r="P19" s="108">
        <f t="shared" si="3"/>
        <v>0</v>
      </c>
      <c r="Q19" s="108">
        <f t="shared" si="3"/>
        <v>0</v>
      </c>
      <c r="R19" s="108">
        <f t="shared" si="3"/>
        <v>0</v>
      </c>
      <c r="S19" s="108">
        <f t="shared" si="3"/>
        <v>0.15</v>
      </c>
      <c r="T19" s="108">
        <f t="shared" si="3"/>
        <v>315</v>
      </c>
      <c r="U19" s="108">
        <f t="shared" si="3"/>
        <v>0.05</v>
      </c>
      <c r="V19" s="108">
        <f t="shared" si="3"/>
        <v>105</v>
      </c>
      <c r="W19" s="108">
        <f t="shared" si="3"/>
        <v>0</v>
      </c>
      <c r="X19" s="108">
        <f t="shared" si="3"/>
        <v>0</v>
      </c>
      <c r="Y19" s="108">
        <f t="shared" si="3"/>
        <v>0</v>
      </c>
      <c r="Z19" s="108">
        <f t="shared" si="3"/>
        <v>0</v>
      </c>
      <c r="AA19" s="108">
        <f t="shared" si="3"/>
        <v>0</v>
      </c>
      <c r="AB19" s="108">
        <f t="shared" si="3"/>
        <v>0</v>
      </c>
      <c r="AC19" s="108">
        <f t="shared" si="3"/>
        <v>0</v>
      </c>
      <c r="AD19" s="108">
        <f t="shared" si="3"/>
        <v>0</v>
      </c>
      <c r="AE19" s="108">
        <f t="shared" si="3"/>
        <v>0</v>
      </c>
      <c r="AF19" s="108">
        <f t="shared" si="3"/>
        <v>0</v>
      </c>
      <c r="AG19" s="108">
        <f t="shared" si="3"/>
        <v>0</v>
      </c>
      <c r="AH19" s="108">
        <f t="shared" si="3"/>
        <v>0</v>
      </c>
      <c r="AI19" s="108">
        <f t="shared" si="3"/>
        <v>0</v>
      </c>
      <c r="AJ19" s="108">
        <f t="shared" si="3"/>
        <v>0</v>
      </c>
      <c r="AK19" s="108">
        <f t="shared" si="3"/>
        <v>0</v>
      </c>
      <c r="AL19" s="108">
        <f t="shared" si="3"/>
        <v>0</v>
      </c>
      <c r="AM19" s="108">
        <f t="shared" si="3"/>
        <v>0</v>
      </c>
      <c r="AN19" s="108">
        <f t="shared" si="3"/>
        <v>0</v>
      </c>
      <c r="AO19" s="108">
        <f t="shared" si="3"/>
        <v>0</v>
      </c>
      <c r="AP19" s="108">
        <f t="shared" si="3"/>
        <v>0.8</v>
      </c>
      <c r="AQ19" s="108">
        <f t="shared" si="3"/>
        <v>1680</v>
      </c>
      <c r="AR19" s="108">
        <f t="shared" si="3"/>
        <v>1.4500000000000002</v>
      </c>
      <c r="AS19" s="108">
        <f t="shared" si="3"/>
        <v>3045</v>
      </c>
      <c r="AT19" s="108">
        <f t="shared" si="3"/>
        <v>0.25</v>
      </c>
      <c r="AU19" s="108">
        <f t="shared" si="3"/>
        <v>525</v>
      </c>
      <c r="AV19" s="108">
        <f t="shared" si="3"/>
        <v>0</v>
      </c>
      <c r="AW19" s="108">
        <f t="shared" si="3"/>
        <v>0</v>
      </c>
      <c r="AX19" s="108">
        <f t="shared" si="3"/>
        <v>0</v>
      </c>
      <c r="AY19" s="108">
        <f t="shared" si="3"/>
        <v>0</v>
      </c>
      <c r="AZ19" s="108">
        <f t="shared" si="3"/>
        <v>0</v>
      </c>
      <c r="BA19" s="108">
        <f t="shared" si="3"/>
        <v>0</v>
      </c>
      <c r="BB19" s="108">
        <f t="shared" si="3"/>
        <v>0</v>
      </c>
      <c r="BC19" s="108">
        <f t="shared" si="3"/>
        <v>0</v>
      </c>
      <c r="BD19" s="108">
        <f t="shared" si="3"/>
        <v>0</v>
      </c>
      <c r="BE19" s="108">
        <f t="shared" si="3"/>
        <v>0</v>
      </c>
      <c r="BF19" s="108">
        <f t="shared" si="3"/>
        <v>0</v>
      </c>
      <c r="BG19" s="108">
        <f t="shared" si="3"/>
        <v>0</v>
      </c>
      <c r="BH19" s="108">
        <f t="shared" si="3"/>
        <v>0</v>
      </c>
      <c r="BI19" s="108">
        <f t="shared" si="3"/>
        <v>0</v>
      </c>
      <c r="BJ19" s="108">
        <f t="shared" si="3"/>
        <v>0</v>
      </c>
      <c r="BK19" s="108">
        <f t="shared" si="3"/>
        <v>0</v>
      </c>
      <c r="BL19" s="108">
        <f t="shared" si="3"/>
        <v>0</v>
      </c>
      <c r="BM19" s="108">
        <f t="shared" si="3"/>
        <v>0</v>
      </c>
      <c r="BN19" s="108">
        <f t="shared" si="3"/>
        <v>0</v>
      </c>
      <c r="BO19" s="108">
        <f t="shared" si="3"/>
        <v>0</v>
      </c>
      <c r="BP19" s="108">
        <f t="shared" si="3"/>
        <v>0</v>
      </c>
      <c r="BQ19" s="108">
        <f t="shared" si="3"/>
        <v>0</v>
      </c>
      <c r="BR19" s="108">
        <f t="shared" si="3"/>
        <v>0</v>
      </c>
      <c r="BS19" s="108">
        <f t="shared" si="3"/>
        <v>5670</v>
      </c>
      <c r="BT19" s="108">
        <f t="shared" si="3"/>
        <v>1.8</v>
      </c>
      <c r="BU19" s="108">
        <f t="shared" si="3"/>
        <v>10206</v>
      </c>
      <c r="BV19" s="108">
        <f t="shared" si="3"/>
        <v>15876</v>
      </c>
      <c r="BW19" s="108"/>
      <c r="BX19" s="108">
        <f t="shared" si="3"/>
        <v>0</v>
      </c>
      <c r="BY19" s="108"/>
      <c r="BZ19" s="108">
        <f>BZ18</f>
        <v>5239.08</v>
      </c>
      <c r="CA19" s="111">
        <f>CA18</f>
        <v>21115.08</v>
      </c>
      <c r="CB19" s="111">
        <f>CB18</f>
        <v>253380.96000000002</v>
      </c>
      <c r="CC19" s="80">
        <f>CC18</f>
        <v>1372.4802000000002</v>
      </c>
      <c r="CD19" s="80">
        <f>CD18</f>
        <v>3508.0593912000004</v>
      </c>
      <c r="CE19" s="81">
        <f>SUM(CE18)</f>
        <v>272903.1183648</v>
      </c>
      <c r="CF19" s="204"/>
    </row>
    <row r="20" spans="1:84">
      <c r="A20" s="220" t="s">
        <v>94</v>
      </c>
      <c r="B20" s="221"/>
      <c r="C20" s="54"/>
      <c r="D20" s="55"/>
      <c r="E20" s="59"/>
      <c r="F20" s="66"/>
      <c r="G20" s="58"/>
      <c r="H20" s="59"/>
      <c r="I20" s="60"/>
      <c r="J20" s="61"/>
      <c r="K20" s="58"/>
      <c r="L20" s="59"/>
      <c r="M20" s="59"/>
      <c r="N20" s="60"/>
      <c r="O20" s="58"/>
      <c r="P20" s="59"/>
      <c r="Q20" s="59"/>
      <c r="R20" s="60"/>
      <c r="S20" s="58"/>
      <c r="T20" s="61"/>
      <c r="U20" s="61"/>
      <c r="V20" s="60"/>
      <c r="W20" s="58"/>
      <c r="X20" s="60"/>
      <c r="Y20" s="58"/>
      <c r="Z20" s="59"/>
      <c r="AA20" s="59"/>
      <c r="AB20" s="59"/>
      <c r="AC20" s="66"/>
      <c r="AD20" s="60"/>
      <c r="AE20" s="58"/>
      <c r="AF20" s="59"/>
      <c r="AG20" s="59"/>
      <c r="AH20" s="60"/>
      <c r="AI20" s="58"/>
      <c r="AJ20" s="59"/>
      <c r="AK20" s="59"/>
      <c r="AL20" s="60"/>
      <c r="AM20" s="58"/>
      <c r="AN20" s="59"/>
      <c r="AO20" s="60"/>
      <c r="AP20" s="58"/>
      <c r="AQ20" s="60"/>
      <c r="AR20" s="70"/>
      <c r="AS20" s="68"/>
      <c r="AT20" s="58"/>
      <c r="AU20" s="69"/>
      <c r="AV20" s="58"/>
      <c r="AW20" s="59"/>
      <c r="AX20" s="59"/>
      <c r="AY20" s="59"/>
      <c r="AZ20" s="59"/>
      <c r="BA20" s="59"/>
      <c r="BB20" s="60"/>
      <c r="BC20" s="58"/>
      <c r="BD20" s="59"/>
      <c r="BE20" s="59"/>
      <c r="BF20" s="59"/>
      <c r="BG20" s="59"/>
      <c r="BH20" s="60"/>
      <c r="BI20" s="63"/>
      <c r="BJ20" s="62"/>
      <c r="BK20" s="65"/>
      <c r="BL20" s="58"/>
      <c r="BM20" s="60"/>
      <c r="BN20" s="58"/>
      <c r="BO20" s="60"/>
      <c r="BP20" s="58"/>
      <c r="BQ20" s="60"/>
      <c r="BR20" s="70"/>
      <c r="BS20" s="71"/>
      <c r="BT20" s="72"/>
      <c r="BU20" s="60"/>
      <c r="BV20" s="71"/>
      <c r="BW20" s="71"/>
      <c r="BX20" s="71"/>
      <c r="BY20" s="71"/>
      <c r="BZ20" s="71"/>
      <c r="CA20" s="73"/>
      <c r="CB20" s="94"/>
      <c r="CC20" s="95"/>
      <c r="CD20" s="95"/>
      <c r="CE20" s="96"/>
    </row>
    <row r="21" spans="1:84" ht="12" thickBot="1">
      <c r="A21" s="52"/>
      <c r="B21" s="116" t="s">
        <v>95</v>
      </c>
      <c r="C21" s="54">
        <v>2.4500000000000002</v>
      </c>
      <c r="D21" s="55">
        <v>3069</v>
      </c>
      <c r="E21" s="59"/>
      <c r="F21" s="113">
        <f>D21*C21</f>
        <v>7519.05</v>
      </c>
      <c r="G21" s="58">
        <v>1</v>
      </c>
      <c r="H21" s="101">
        <v>0</v>
      </c>
      <c r="I21" s="60">
        <f>F21*H21</f>
        <v>0</v>
      </c>
      <c r="J21" s="61"/>
      <c r="K21" s="58"/>
      <c r="L21" s="59"/>
      <c r="M21" s="59"/>
      <c r="N21" s="60"/>
      <c r="O21" s="58"/>
      <c r="P21" s="59"/>
      <c r="Q21" s="59"/>
      <c r="R21" s="60"/>
      <c r="S21" s="63">
        <v>0.15</v>
      </c>
      <c r="T21" s="64">
        <f>F21*S21</f>
        <v>1127.8575000000001</v>
      </c>
      <c r="U21" s="64">
        <v>0.05</v>
      </c>
      <c r="V21" s="65">
        <f>F21*U21</f>
        <v>375.95250000000004</v>
      </c>
      <c r="W21" s="58"/>
      <c r="X21" s="60"/>
      <c r="Y21" s="72"/>
      <c r="Z21" s="62"/>
      <c r="AA21" s="102"/>
      <c r="AB21" s="62">
        <v>0.3</v>
      </c>
      <c r="AC21" s="103"/>
      <c r="AD21" s="60">
        <f>F21*AB21</f>
        <v>2255.7150000000001</v>
      </c>
      <c r="AE21" s="58"/>
      <c r="AF21" s="59"/>
      <c r="AG21" s="59"/>
      <c r="AH21" s="60"/>
      <c r="AI21" s="58"/>
      <c r="AJ21" s="59"/>
      <c r="AK21" s="62">
        <v>0</v>
      </c>
      <c r="AL21" s="65">
        <f>D21*(AI21+AJ21+AK21)</f>
        <v>0</v>
      </c>
      <c r="AM21" s="58"/>
      <c r="AN21" s="59"/>
      <c r="AO21" s="60"/>
      <c r="AP21" s="58"/>
      <c r="AQ21" s="60"/>
      <c r="AR21" s="67">
        <f>H21+K21+L21+M21+O21+P21+Q21+S21+U21+W21+Y21+Z21+AA21+AB21+AE21+AF21+AG21+AI21+AJ21+AK21+AM21+AN21+AP21</f>
        <v>0.5</v>
      </c>
      <c r="AS21" s="68">
        <f>I21+N21+R21+T21+V21+X21+AD21+AH21+AL21+AO21+AQ21</f>
        <v>3759.5250000000005</v>
      </c>
      <c r="AT21" s="58"/>
      <c r="AU21" s="69"/>
      <c r="AV21" s="58"/>
      <c r="AW21" s="59"/>
      <c r="AX21" s="59"/>
      <c r="AY21" s="59"/>
      <c r="AZ21" s="59"/>
      <c r="BA21" s="59"/>
      <c r="BB21" s="60"/>
      <c r="BC21" s="63">
        <v>0.3</v>
      </c>
      <c r="BD21" s="62" t="s">
        <v>9</v>
      </c>
      <c r="BE21" s="62"/>
      <c r="BF21" s="62"/>
      <c r="BG21" s="59"/>
      <c r="BH21" s="60">
        <f>F21*BC21</f>
        <v>2255.7150000000001</v>
      </c>
      <c r="BI21" s="63"/>
      <c r="BJ21" s="62">
        <v>0.1</v>
      </c>
      <c r="BK21" s="65">
        <f>F21*BJ21</f>
        <v>751.90500000000009</v>
      </c>
      <c r="BL21" s="58"/>
      <c r="BM21" s="60"/>
      <c r="BN21" s="58"/>
      <c r="BO21" s="60"/>
      <c r="BP21" s="58"/>
      <c r="BQ21" s="60"/>
      <c r="BR21" s="70">
        <f>AW21+AY21+BA21+BH21+BK21+BM21+BO21+BQ21</f>
        <v>3007.6200000000003</v>
      </c>
      <c r="BS21" s="71">
        <f>AS21+BR21+F21</f>
        <v>14286.195</v>
      </c>
      <c r="BT21" s="72">
        <v>1.8</v>
      </c>
      <c r="BU21" s="60">
        <f>BS21*BT21</f>
        <v>25715.151000000002</v>
      </c>
      <c r="BV21" s="71">
        <f>SUM(BS21+BU21)</f>
        <v>40001.346000000005</v>
      </c>
      <c r="BW21" s="71">
        <f>BV21*BW11</f>
        <v>2200.0740300000002</v>
      </c>
      <c r="BX21" s="71"/>
      <c r="BY21" s="71">
        <f>BV21+BW21</f>
        <v>42201.420030000008</v>
      </c>
      <c r="BZ21" s="71">
        <f>BY21*BZ10</f>
        <v>13926.468609900003</v>
      </c>
      <c r="CA21" s="73">
        <f>BY21+BZ21</f>
        <v>56127.888639900011</v>
      </c>
      <c r="CB21" s="74">
        <f>CA21*12</f>
        <v>673534.66367880011</v>
      </c>
      <c r="CC21" s="75">
        <f>(CA21*0.065)</f>
        <v>3648.3127615935009</v>
      </c>
      <c r="CD21" s="75">
        <f>(CA21+CC21)*8.5%</f>
        <v>5080.9771191269492</v>
      </c>
      <c r="CE21" s="75">
        <f>(CC21+CD21)*4+CB21</f>
        <v>708451.82320168195</v>
      </c>
    </row>
    <row r="22" spans="1:84" s="115" customFormat="1" ht="22.5" thickBot="1">
      <c r="A22" s="106" t="s">
        <v>96</v>
      </c>
      <c r="B22" s="107"/>
      <c r="C22" s="108">
        <f>C21</f>
        <v>2.4500000000000002</v>
      </c>
      <c r="D22" s="108"/>
      <c r="E22" s="108"/>
      <c r="F22" s="108">
        <f>F21</f>
        <v>7519.05</v>
      </c>
      <c r="G22" s="108"/>
      <c r="H22" s="109">
        <f>H21</f>
        <v>0</v>
      </c>
      <c r="I22" s="109">
        <f t="shared" ref="I22:BU22" si="4">I21</f>
        <v>0</v>
      </c>
      <c r="J22" s="109"/>
      <c r="K22" s="109">
        <f t="shared" si="4"/>
        <v>0</v>
      </c>
      <c r="L22" s="109">
        <f t="shared" si="4"/>
        <v>0</v>
      </c>
      <c r="M22" s="109">
        <f t="shared" si="4"/>
        <v>0</v>
      </c>
      <c r="N22" s="109">
        <f t="shared" si="4"/>
        <v>0</v>
      </c>
      <c r="O22" s="109">
        <f t="shared" si="4"/>
        <v>0</v>
      </c>
      <c r="P22" s="109">
        <f t="shared" si="4"/>
        <v>0</v>
      </c>
      <c r="Q22" s="109">
        <f t="shared" si="4"/>
        <v>0</v>
      </c>
      <c r="R22" s="109">
        <f t="shared" si="4"/>
        <v>0</v>
      </c>
      <c r="S22" s="109">
        <f t="shared" si="4"/>
        <v>0.15</v>
      </c>
      <c r="T22" s="109">
        <f t="shared" si="4"/>
        <v>1127.8575000000001</v>
      </c>
      <c r="U22" s="109">
        <f t="shared" si="4"/>
        <v>0.05</v>
      </c>
      <c r="V22" s="109">
        <f t="shared" si="4"/>
        <v>375.95250000000004</v>
      </c>
      <c r="W22" s="109">
        <f t="shared" si="4"/>
        <v>0</v>
      </c>
      <c r="X22" s="109">
        <f t="shared" si="4"/>
        <v>0</v>
      </c>
      <c r="Y22" s="109">
        <f t="shared" si="4"/>
        <v>0</v>
      </c>
      <c r="Z22" s="109">
        <f t="shared" si="4"/>
        <v>0</v>
      </c>
      <c r="AA22" s="109">
        <f t="shared" si="4"/>
        <v>0</v>
      </c>
      <c r="AB22" s="109">
        <f t="shared" si="4"/>
        <v>0.3</v>
      </c>
      <c r="AC22" s="109"/>
      <c r="AD22" s="109">
        <f t="shared" si="4"/>
        <v>2255.7150000000001</v>
      </c>
      <c r="AE22" s="109">
        <f t="shared" si="4"/>
        <v>0</v>
      </c>
      <c r="AF22" s="109">
        <f t="shared" si="4"/>
        <v>0</v>
      </c>
      <c r="AG22" s="109">
        <f t="shared" si="4"/>
        <v>0</v>
      </c>
      <c r="AH22" s="109">
        <f t="shared" si="4"/>
        <v>0</v>
      </c>
      <c r="AI22" s="109">
        <f t="shared" si="4"/>
        <v>0</v>
      </c>
      <c r="AJ22" s="109">
        <f t="shared" si="4"/>
        <v>0</v>
      </c>
      <c r="AK22" s="109">
        <f t="shared" si="4"/>
        <v>0</v>
      </c>
      <c r="AL22" s="109">
        <f t="shared" si="4"/>
        <v>0</v>
      </c>
      <c r="AM22" s="109">
        <f t="shared" si="4"/>
        <v>0</v>
      </c>
      <c r="AN22" s="109">
        <f t="shared" si="4"/>
        <v>0</v>
      </c>
      <c r="AO22" s="109">
        <f t="shared" si="4"/>
        <v>0</v>
      </c>
      <c r="AP22" s="109">
        <f t="shared" si="4"/>
        <v>0</v>
      </c>
      <c r="AQ22" s="109">
        <f t="shared" si="4"/>
        <v>0</v>
      </c>
      <c r="AR22" s="109">
        <f t="shared" si="4"/>
        <v>0.5</v>
      </c>
      <c r="AS22" s="109">
        <f t="shared" si="4"/>
        <v>3759.5250000000005</v>
      </c>
      <c r="AT22" s="109">
        <f t="shared" si="4"/>
        <v>0</v>
      </c>
      <c r="AU22" s="109">
        <f t="shared" si="4"/>
        <v>0</v>
      </c>
      <c r="AV22" s="109">
        <f t="shared" si="4"/>
        <v>0</v>
      </c>
      <c r="AW22" s="109">
        <f t="shared" si="4"/>
        <v>0</v>
      </c>
      <c r="AX22" s="109">
        <f t="shared" si="4"/>
        <v>0</v>
      </c>
      <c r="AY22" s="109">
        <f t="shared" si="4"/>
        <v>0</v>
      </c>
      <c r="AZ22" s="109">
        <f t="shared" si="4"/>
        <v>0</v>
      </c>
      <c r="BA22" s="109">
        <f t="shared" si="4"/>
        <v>0</v>
      </c>
      <c r="BB22" s="109">
        <f t="shared" si="4"/>
        <v>0</v>
      </c>
      <c r="BC22" s="109">
        <f t="shared" si="4"/>
        <v>0.3</v>
      </c>
      <c r="BD22" s="109" t="str">
        <f t="shared" si="4"/>
        <v xml:space="preserve"> </v>
      </c>
      <c r="BE22" s="109">
        <f t="shared" si="4"/>
        <v>0</v>
      </c>
      <c r="BF22" s="109">
        <f t="shared" si="4"/>
        <v>0</v>
      </c>
      <c r="BG22" s="109">
        <f t="shared" si="4"/>
        <v>0</v>
      </c>
      <c r="BH22" s="109">
        <f t="shared" si="4"/>
        <v>2255.7150000000001</v>
      </c>
      <c r="BI22" s="110">
        <f t="shared" si="4"/>
        <v>0</v>
      </c>
      <c r="BJ22" s="110">
        <f t="shared" si="4"/>
        <v>0.1</v>
      </c>
      <c r="BK22" s="110">
        <f t="shared" si="4"/>
        <v>751.90500000000009</v>
      </c>
      <c r="BL22" s="109">
        <f t="shared" si="4"/>
        <v>0</v>
      </c>
      <c r="BM22" s="109">
        <f t="shared" si="4"/>
        <v>0</v>
      </c>
      <c r="BN22" s="109">
        <f t="shared" si="4"/>
        <v>0</v>
      </c>
      <c r="BO22" s="109">
        <f t="shared" si="4"/>
        <v>0</v>
      </c>
      <c r="BP22" s="109">
        <f t="shared" si="4"/>
        <v>0</v>
      </c>
      <c r="BQ22" s="109">
        <f t="shared" si="4"/>
        <v>0</v>
      </c>
      <c r="BR22" s="109">
        <f t="shared" si="4"/>
        <v>3007.6200000000003</v>
      </c>
      <c r="BS22" s="109">
        <f t="shared" si="4"/>
        <v>14286.195</v>
      </c>
      <c r="BT22" s="109">
        <f t="shared" si="4"/>
        <v>1.8</v>
      </c>
      <c r="BU22" s="109">
        <f t="shared" si="4"/>
        <v>25715.151000000002</v>
      </c>
      <c r="BV22" s="109">
        <f t="shared" ref="BV22:CD22" si="5">BV21</f>
        <v>40001.346000000005</v>
      </c>
      <c r="BW22" s="109">
        <f>BW21</f>
        <v>2200.0740300000002</v>
      </c>
      <c r="BX22" s="109">
        <f t="shared" si="5"/>
        <v>0</v>
      </c>
      <c r="BY22" s="109"/>
      <c r="BZ22" s="109">
        <f t="shared" si="5"/>
        <v>13926.468609900003</v>
      </c>
      <c r="CA22" s="117">
        <f t="shared" si="5"/>
        <v>56127.888639900011</v>
      </c>
      <c r="CB22" s="118">
        <f t="shared" si="5"/>
        <v>673534.66367880011</v>
      </c>
      <c r="CC22" s="80">
        <f t="shared" si="5"/>
        <v>3648.3127615935009</v>
      </c>
      <c r="CD22" s="80">
        <f t="shared" si="5"/>
        <v>5080.9771191269492</v>
      </c>
      <c r="CE22" s="81">
        <f>SUM(CE21)</f>
        <v>708451.82320168195</v>
      </c>
    </row>
    <row r="23" spans="1:84">
      <c r="A23" s="220" t="s">
        <v>97</v>
      </c>
      <c r="B23" s="221"/>
      <c r="C23" s="54"/>
      <c r="D23" s="55"/>
      <c r="E23" s="59"/>
      <c r="F23" s="66"/>
      <c r="G23" s="58"/>
      <c r="H23" s="101"/>
      <c r="I23" s="60"/>
      <c r="J23" s="61"/>
      <c r="K23" s="58"/>
      <c r="L23" s="59"/>
      <c r="M23" s="59"/>
      <c r="N23" s="60"/>
      <c r="O23" s="58"/>
      <c r="P23" s="59"/>
      <c r="Q23" s="59"/>
      <c r="R23" s="60"/>
      <c r="S23" s="58"/>
      <c r="T23" s="61"/>
      <c r="U23" s="61"/>
      <c r="V23" s="60"/>
      <c r="W23" s="58"/>
      <c r="X23" s="60"/>
      <c r="Y23" s="58"/>
      <c r="Z23" s="101"/>
      <c r="AA23" s="101"/>
      <c r="AB23" s="101"/>
      <c r="AC23" s="119"/>
      <c r="AD23" s="120"/>
      <c r="AE23" s="58"/>
      <c r="AF23" s="59"/>
      <c r="AG23" s="59"/>
      <c r="AH23" s="60"/>
      <c r="AI23" s="58"/>
      <c r="AJ23" s="59"/>
      <c r="AK23" s="59"/>
      <c r="AL23" s="60"/>
      <c r="AM23" s="58"/>
      <c r="AN23" s="59"/>
      <c r="AO23" s="60"/>
      <c r="AP23" s="58"/>
      <c r="AQ23" s="60"/>
      <c r="AR23" s="70" t="s">
        <v>9</v>
      </c>
      <c r="AS23" s="68"/>
      <c r="AT23" s="58"/>
      <c r="AU23" s="69"/>
      <c r="AV23" s="58"/>
      <c r="AW23" s="59"/>
      <c r="AX23" s="59"/>
      <c r="AY23" s="59"/>
      <c r="AZ23" s="59"/>
      <c r="BA23" s="59"/>
      <c r="BB23" s="60">
        <f>AW23+AY23+BA23</f>
        <v>0</v>
      </c>
      <c r="BC23" s="58"/>
      <c r="BD23" s="59"/>
      <c r="BE23" s="59"/>
      <c r="BF23" s="59"/>
      <c r="BG23" s="59"/>
      <c r="BH23" s="60">
        <f>BC23+BD23+BE23+BF23+BG23</f>
        <v>0</v>
      </c>
      <c r="BI23" s="63"/>
      <c r="BJ23" s="62"/>
      <c r="BK23" s="65"/>
      <c r="BL23" s="58"/>
      <c r="BM23" s="60"/>
      <c r="BN23" s="58"/>
      <c r="BO23" s="60"/>
      <c r="BP23" s="58"/>
      <c r="BQ23" s="60"/>
      <c r="BR23" s="70" t="s">
        <v>9</v>
      </c>
      <c r="BS23" s="71" t="s">
        <v>9</v>
      </c>
      <c r="BT23" s="72"/>
      <c r="BU23" s="60" t="s">
        <v>9</v>
      </c>
      <c r="BV23" s="71"/>
      <c r="BW23" s="71"/>
      <c r="BX23" s="71"/>
      <c r="BY23" s="71"/>
      <c r="BZ23" s="71"/>
      <c r="CA23" s="73"/>
      <c r="CB23" s="94"/>
      <c r="CC23" s="95"/>
      <c r="CD23" s="95"/>
      <c r="CE23" s="96"/>
    </row>
    <row r="24" spans="1:84" ht="12" thickBot="1">
      <c r="A24" s="121"/>
      <c r="B24" s="122" t="s">
        <v>98</v>
      </c>
      <c r="C24" s="54">
        <v>0.5</v>
      </c>
      <c r="D24" s="55">
        <v>2942</v>
      </c>
      <c r="E24" s="59"/>
      <c r="F24" s="113">
        <f>D24*C24</f>
        <v>1471</v>
      </c>
      <c r="G24" s="58">
        <v>2</v>
      </c>
      <c r="H24" s="101">
        <v>0.06</v>
      </c>
      <c r="I24" s="60"/>
      <c r="J24" s="61"/>
      <c r="K24" s="58"/>
      <c r="L24" s="59"/>
      <c r="M24" s="59"/>
      <c r="N24" s="60"/>
      <c r="O24" s="58"/>
      <c r="P24" s="59"/>
      <c r="Q24" s="59"/>
      <c r="R24" s="60"/>
      <c r="S24" s="63">
        <v>0.15</v>
      </c>
      <c r="T24" s="64">
        <f>F24*S24</f>
        <v>220.65</v>
      </c>
      <c r="U24" s="64">
        <v>0.05</v>
      </c>
      <c r="V24" s="65">
        <f>F24*U24</f>
        <v>73.55</v>
      </c>
      <c r="W24" s="58"/>
      <c r="X24" s="60"/>
      <c r="Y24" s="58"/>
      <c r="Z24" s="101"/>
      <c r="AA24" s="101"/>
      <c r="AB24" s="101">
        <v>0.3</v>
      </c>
      <c r="AC24" s="119"/>
      <c r="AD24" s="60">
        <f>F24*AB24</f>
        <v>441.3</v>
      </c>
      <c r="AE24" s="58"/>
      <c r="AF24" s="59"/>
      <c r="AG24" s="59"/>
      <c r="AH24" s="60"/>
      <c r="AI24" s="123"/>
      <c r="AJ24" s="59"/>
      <c r="AK24" s="62">
        <v>0</v>
      </c>
      <c r="AL24" s="65">
        <f>D24*(AI24+AJ24+AK24)</f>
        <v>0</v>
      </c>
      <c r="AM24" s="58"/>
      <c r="AN24" s="59"/>
      <c r="AO24" s="60"/>
      <c r="AP24" s="58"/>
      <c r="AQ24" s="60"/>
      <c r="AR24" s="67">
        <f>H24+K24+L24+M24+O24+P24+Q24+S24+U24+W24+Y24+Z24+AA24+AB24+AE24+AF24+AG24+AI24+AJ24+AK24+AM24+AN24+AP24</f>
        <v>0.56000000000000005</v>
      </c>
      <c r="AS24" s="68">
        <f>I24+N24+R24+T24+V24+X24+AD24+AH24+AL24+AO24+AQ24</f>
        <v>735.5</v>
      </c>
      <c r="AT24" s="58"/>
      <c r="AU24" s="69"/>
      <c r="AV24" s="58"/>
      <c r="AW24" s="59"/>
      <c r="AX24" s="59"/>
      <c r="AY24" s="59"/>
      <c r="AZ24" s="59"/>
      <c r="BA24" s="59"/>
      <c r="BB24" s="60"/>
      <c r="BC24" s="58"/>
      <c r="BD24" s="59"/>
      <c r="BE24" s="59"/>
      <c r="BF24" s="59"/>
      <c r="BG24" s="59"/>
      <c r="BH24" s="60"/>
      <c r="BI24" s="63"/>
      <c r="BJ24" s="62">
        <v>0.1</v>
      </c>
      <c r="BK24" s="65">
        <f>F24*BJ24</f>
        <v>147.1</v>
      </c>
      <c r="BL24" s="58"/>
      <c r="BM24" s="60"/>
      <c r="BN24" s="58"/>
      <c r="BO24" s="60"/>
      <c r="BP24" s="58"/>
      <c r="BQ24" s="60"/>
      <c r="BR24" s="70">
        <f>AW24+AY24+BA24+BH24+BK24+BM24+BO24+BQ24</f>
        <v>147.1</v>
      </c>
      <c r="BS24" s="71">
        <f>AS24+BR24+F24</f>
        <v>2353.6</v>
      </c>
      <c r="BT24" s="72">
        <v>1.8</v>
      </c>
      <c r="BU24" s="60">
        <f>BS24*BT24</f>
        <v>4236.4799999999996</v>
      </c>
      <c r="BV24" s="71">
        <f>SUM(BS24+BU24)</f>
        <v>6590.08</v>
      </c>
      <c r="BW24" s="71">
        <f>BV24*BW11</f>
        <v>362.45440000000002</v>
      </c>
      <c r="BX24" s="71">
        <f>BX11/2-(BV24+BW24)</f>
        <v>1459.4656000000004</v>
      </c>
      <c r="BY24" s="71">
        <f>BV24+BW24+BX24</f>
        <v>8412</v>
      </c>
      <c r="BZ24" s="71">
        <f>BY24*BZ10</f>
        <v>2775.96</v>
      </c>
      <c r="CA24" s="73">
        <f>BV24+BZ24</f>
        <v>9366.0400000000009</v>
      </c>
      <c r="CB24" s="74">
        <f>CA24*12</f>
        <v>112392.48000000001</v>
      </c>
      <c r="CC24" s="75">
        <f>(CA24*0.065)</f>
        <v>608.79260000000011</v>
      </c>
      <c r="CD24" s="75">
        <f>(CA24+CC24)*8.5%</f>
        <v>847.86077100000023</v>
      </c>
      <c r="CE24" s="75">
        <f>(CC24+CD24)*4+CB24</f>
        <v>118219.09348400001</v>
      </c>
    </row>
    <row r="25" spans="1:84" s="115" customFormat="1" ht="22.5" thickBot="1">
      <c r="A25" s="106" t="s">
        <v>99</v>
      </c>
      <c r="B25" s="107"/>
      <c r="C25" s="108">
        <f>C24</f>
        <v>0.5</v>
      </c>
      <c r="D25" s="108"/>
      <c r="E25" s="108"/>
      <c r="F25" s="108">
        <f>F24</f>
        <v>1471</v>
      </c>
      <c r="G25" s="108"/>
      <c r="H25" s="109">
        <f>H24</f>
        <v>0.06</v>
      </c>
      <c r="I25" s="108">
        <f>I24</f>
        <v>0</v>
      </c>
      <c r="J25" s="108"/>
      <c r="K25" s="109">
        <f t="shared" ref="K25:BX25" si="6">K24</f>
        <v>0</v>
      </c>
      <c r="L25" s="109">
        <f t="shared" si="6"/>
        <v>0</v>
      </c>
      <c r="M25" s="109">
        <f t="shared" si="6"/>
        <v>0</v>
      </c>
      <c r="N25" s="108">
        <f t="shared" si="6"/>
        <v>0</v>
      </c>
      <c r="O25" s="108">
        <f t="shared" si="6"/>
        <v>0</v>
      </c>
      <c r="P25" s="108">
        <f t="shared" si="6"/>
        <v>0</v>
      </c>
      <c r="Q25" s="108">
        <f t="shared" si="6"/>
        <v>0</v>
      </c>
      <c r="R25" s="108">
        <f t="shared" si="6"/>
        <v>0</v>
      </c>
      <c r="S25" s="108">
        <f t="shared" si="6"/>
        <v>0.15</v>
      </c>
      <c r="T25" s="108">
        <f t="shared" si="6"/>
        <v>220.65</v>
      </c>
      <c r="U25" s="108">
        <f t="shared" si="6"/>
        <v>0.05</v>
      </c>
      <c r="V25" s="108">
        <f t="shared" si="6"/>
        <v>73.55</v>
      </c>
      <c r="W25" s="108">
        <f t="shared" si="6"/>
        <v>0</v>
      </c>
      <c r="X25" s="108">
        <f t="shared" si="6"/>
        <v>0</v>
      </c>
      <c r="Y25" s="108">
        <f t="shared" si="6"/>
        <v>0</v>
      </c>
      <c r="Z25" s="109">
        <f t="shared" si="6"/>
        <v>0</v>
      </c>
      <c r="AA25" s="109">
        <f t="shared" si="6"/>
        <v>0</v>
      </c>
      <c r="AB25" s="109">
        <f t="shared" si="6"/>
        <v>0.3</v>
      </c>
      <c r="AC25" s="109"/>
      <c r="AD25" s="109">
        <f t="shared" si="6"/>
        <v>441.3</v>
      </c>
      <c r="AE25" s="108">
        <f t="shared" si="6"/>
        <v>0</v>
      </c>
      <c r="AF25" s="108">
        <f t="shared" si="6"/>
        <v>0</v>
      </c>
      <c r="AG25" s="108">
        <f t="shared" si="6"/>
        <v>0</v>
      </c>
      <c r="AH25" s="108">
        <f t="shared" si="6"/>
        <v>0</v>
      </c>
      <c r="AI25" s="109">
        <f t="shared" si="6"/>
        <v>0</v>
      </c>
      <c r="AJ25" s="108">
        <f t="shared" si="6"/>
        <v>0</v>
      </c>
      <c r="AK25" s="108">
        <f t="shared" si="6"/>
        <v>0</v>
      </c>
      <c r="AL25" s="108">
        <f t="shared" si="6"/>
        <v>0</v>
      </c>
      <c r="AM25" s="108">
        <f t="shared" si="6"/>
        <v>0</v>
      </c>
      <c r="AN25" s="108">
        <f t="shared" si="6"/>
        <v>0</v>
      </c>
      <c r="AO25" s="108">
        <f t="shared" si="6"/>
        <v>0</v>
      </c>
      <c r="AP25" s="108">
        <f t="shared" si="6"/>
        <v>0</v>
      </c>
      <c r="AQ25" s="108">
        <f t="shared" si="6"/>
        <v>0</v>
      </c>
      <c r="AR25" s="108">
        <f t="shared" si="6"/>
        <v>0.56000000000000005</v>
      </c>
      <c r="AS25" s="108">
        <f t="shared" si="6"/>
        <v>735.5</v>
      </c>
      <c r="AT25" s="108">
        <f t="shared" si="6"/>
        <v>0</v>
      </c>
      <c r="AU25" s="108">
        <f t="shared" si="6"/>
        <v>0</v>
      </c>
      <c r="AV25" s="108">
        <f t="shared" si="6"/>
        <v>0</v>
      </c>
      <c r="AW25" s="108">
        <f t="shared" si="6"/>
        <v>0</v>
      </c>
      <c r="AX25" s="108">
        <f t="shared" si="6"/>
        <v>0</v>
      </c>
      <c r="AY25" s="108">
        <f t="shared" si="6"/>
        <v>0</v>
      </c>
      <c r="AZ25" s="108">
        <f t="shared" si="6"/>
        <v>0</v>
      </c>
      <c r="BA25" s="108">
        <f t="shared" si="6"/>
        <v>0</v>
      </c>
      <c r="BB25" s="108">
        <f t="shared" si="6"/>
        <v>0</v>
      </c>
      <c r="BC25" s="108">
        <f t="shared" si="6"/>
        <v>0</v>
      </c>
      <c r="BD25" s="108">
        <f t="shared" si="6"/>
        <v>0</v>
      </c>
      <c r="BE25" s="108">
        <f t="shared" si="6"/>
        <v>0</v>
      </c>
      <c r="BF25" s="108">
        <f t="shared" si="6"/>
        <v>0</v>
      </c>
      <c r="BG25" s="108">
        <f t="shared" si="6"/>
        <v>0</v>
      </c>
      <c r="BH25" s="108">
        <f t="shared" si="6"/>
        <v>0</v>
      </c>
      <c r="BI25" s="110">
        <f t="shared" si="6"/>
        <v>0</v>
      </c>
      <c r="BJ25" s="110">
        <f t="shared" si="6"/>
        <v>0.1</v>
      </c>
      <c r="BK25" s="110">
        <f t="shared" si="6"/>
        <v>147.1</v>
      </c>
      <c r="BL25" s="108">
        <f t="shared" si="6"/>
        <v>0</v>
      </c>
      <c r="BM25" s="108">
        <f t="shared" si="6"/>
        <v>0</v>
      </c>
      <c r="BN25" s="108">
        <f t="shared" si="6"/>
        <v>0</v>
      </c>
      <c r="BO25" s="108">
        <f t="shared" si="6"/>
        <v>0</v>
      </c>
      <c r="BP25" s="108">
        <f t="shared" si="6"/>
        <v>0</v>
      </c>
      <c r="BQ25" s="108">
        <f t="shared" si="6"/>
        <v>0</v>
      </c>
      <c r="BR25" s="108">
        <f t="shared" si="6"/>
        <v>147.1</v>
      </c>
      <c r="BS25" s="108">
        <f t="shared" si="6"/>
        <v>2353.6</v>
      </c>
      <c r="BT25" s="108">
        <f t="shared" si="6"/>
        <v>1.8</v>
      </c>
      <c r="BU25" s="108">
        <f t="shared" si="6"/>
        <v>4236.4799999999996</v>
      </c>
      <c r="BV25" s="108">
        <f t="shared" si="6"/>
        <v>6590.08</v>
      </c>
      <c r="BW25" s="108">
        <f>BV25*BW11</f>
        <v>362.45440000000002</v>
      </c>
      <c r="BX25" s="108">
        <f t="shared" si="6"/>
        <v>1459.4656000000004</v>
      </c>
      <c r="BY25" s="108"/>
      <c r="BZ25" s="108">
        <f>BZ24</f>
        <v>2775.96</v>
      </c>
      <c r="CA25" s="111">
        <f>CA24</f>
        <v>9366.0400000000009</v>
      </c>
      <c r="CB25" s="111">
        <f>CB24</f>
        <v>112392.48000000001</v>
      </c>
      <c r="CC25" s="80">
        <f>SUM(CC24)</f>
        <v>608.79260000000011</v>
      </c>
      <c r="CD25" s="80">
        <f>SUM(CD24)</f>
        <v>847.86077100000023</v>
      </c>
      <c r="CE25" s="81">
        <f>SUM(CE24)</f>
        <v>118219.09348400001</v>
      </c>
    </row>
    <row r="26" spans="1:84">
      <c r="A26" s="220" t="s">
        <v>100</v>
      </c>
      <c r="B26" s="221"/>
      <c r="C26" s="54"/>
      <c r="D26" s="55"/>
      <c r="E26" s="59"/>
      <c r="F26" s="66"/>
      <c r="G26" s="58"/>
      <c r="H26" s="101"/>
      <c r="I26" s="60"/>
      <c r="J26" s="61"/>
      <c r="K26" s="58"/>
      <c r="L26" s="59"/>
      <c r="M26" s="59"/>
      <c r="N26" s="60"/>
      <c r="O26" s="58"/>
      <c r="P26" s="59"/>
      <c r="Q26" s="59"/>
      <c r="R26" s="60"/>
      <c r="S26" s="58"/>
      <c r="T26" s="61"/>
      <c r="U26" s="61"/>
      <c r="V26" s="60"/>
      <c r="W26" s="58"/>
      <c r="X26" s="60"/>
      <c r="Y26" s="58"/>
      <c r="Z26" s="101"/>
      <c r="AA26" s="101"/>
      <c r="AB26" s="101"/>
      <c r="AC26" s="119"/>
      <c r="AD26" s="120"/>
      <c r="AE26" s="58"/>
      <c r="AF26" s="59"/>
      <c r="AG26" s="59"/>
      <c r="AH26" s="60"/>
      <c r="AI26" s="58"/>
      <c r="AJ26" s="59"/>
      <c r="AK26" s="59"/>
      <c r="AL26" s="60"/>
      <c r="AM26" s="58"/>
      <c r="AN26" s="59"/>
      <c r="AO26" s="60"/>
      <c r="AP26" s="58"/>
      <c r="AQ26" s="60"/>
      <c r="AR26" s="70"/>
      <c r="AS26" s="68"/>
      <c r="AT26" s="58"/>
      <c r="AU26" s="69"/>
      <c r="AV26" s="58"/>
      <c r="AW26" s="59"/>
      <c r="AX26" s="59"/>
      <c r="AY26" s="59"/>
      <c r="AZ26" s="59"/>
      <c r="BA26" s="59"/>
      <c r="BB26" s="60"/>
      <c r="BC26" s="58"/>
      <c r="BD26" s="59"/>
      <c r="BE26" s="59"/>
      <c r="BF26" s="59"/>
      <c r="BG26" s="59"/>
      <c r="BH26" s="60"/>
      <c r="BI26" s="63"/>
      <c r="BJ26" s="62"/>
      <c r="BK26" s="65"/>
      <c r="BL26" s="58"/>
      <c r="BM26" s="60"/>
      <c r="BN26" s="58"/>
      <c r="BO26" s="60"/>
      <c r="BP26" s="58"/>
      <c r="BQ26" s="60"/>
      <c r="BR26" s="70"/>
      <c r="BS26" s="71"/>
      <c r="BT26" s="72"/>
      <c r="BU26" s="60"/>
      <c r="BV26" s="71"/>
      <c r="BW26" s="71"/>
      <c r="BX26" s="71"/>
      <c r="BY26" s="71"/>
      <c r="BZ26" s="71"/>
      <c r="CA26" s="73"/>
      <c r="CB26" s="94"/>
      <c r="CC26" s="95"/>
      <c r="CD26" s="95"/>
      <c r="CE26" s="96"/>
    </row>
    <row r="27" spans="1:84" ht="12" thickBot="1">
      <c r="A27" s="97"/>
      <c r="B27" s="124" t="s">
        <v>101</v>
      </c>
      <c r="C27" s="125">
        <v>0.5</v>
      </c>
      <c r="D27" s="55">
        <v>3005</v>
      </c>
      <c r="E27" s="59"/>
      <c r="F27" s="113">
        <f>D27*C27</f>
        <v>1502.5</v>
      </c>
      <c r="G27" s="58">
        <v>5</v>
      </c>
      <c r="H27" s="101">
        <v>0.45</v>
      </c>
      <c r="I27" s="60">
        <f>F27*H27</f>
        <v>676.125</v>
      </c>
      <c r="J27" s="61"/>
      <c r="K27" s="72"/>
      <c r="L27" s="62">
        <v>0.2</v>
      </c>
      <c r="M27" s="59"/>
      <c r="N27" s="60">
        <f>F27*L27</f>
        <v>300.5</v>
      </c>
      <c r="O27" s="58"/>
      <c r="P27" s="59"/>
      <c r="Q27" s="59"/>
      <c r="R27" s="60"/>
      <c r="S27" s="63">
        <v>0.15</v>
      </c>
      <c r="T27" s="64">
        <f>F27*S27</f>
        <v>225.375</v>
      </c>
      <c r="U27" s="64">
        <v>0.05</v>
      </c>
      <c r="V27" s="65">
        <f>F27*U27</f>
        <v>75.125</v>
      </c>
      <c r="W27" s="123">
        <v>0.5</v>
      </c>
      <c r="X27" s="60">
        <f>F27*W27</f>
        <v>751.25</v>
      </c>
      <c r="Y27" s="58"/>
      <c r="Z27" s="101"/>
      <c r="AA27" s="101"/>
      <c r="AB27" s="101"/>
      <c r="AC27" s="119"/>
      <c r="AD27" s="120"/>
      <c r="AE27" s="58"/>
      <c r="AF27" s="102"/>
      <c r="AG27" s="62">
        <v>0.6</v>
      </c>
      <c r="AH27" s="60">
        <f>F27*AG27</f>
        <v>901.5</v>
      </c>
      <c r="AI27" s="123">
        <v>0</v>
      </c>
      <c r="AJ27" s="59"/>
      <c r="AK27" s="62">
        <v>0</v>
      </c>
      <c r="AL27" s="65">
        <f>D27*(AI27+AJ27+AK27)</f>
        <v>0</v>
      </c>
      <c r="AM27" s="58"/>
      <c r="AN27" s="59"/>
      <c r="AO27" s="60"/>
      <c r="AP27" s="63">
        <v>0.85</v>
      </c>
      <c r="AQ27" s="60">
        <f>F27*AP27</f>
        <v>1277.125</v>
      </c>
      <c r="AR27" s="67">
        <f>H27+K27+L27+M27+O27+P27+Q27+S27+U27+W27+Y27+Z27+AA27+AB27+AE27+AF27+AG27+AI27+AJ27+AK27+AM27+AN27+AP27</f>
        <v>2.8000000000000003</v>
      </c>
      <c r="AS27" s="68">
        <f>I27+N27+R27+T27+V27+X27+AD27+AH27+AL27+AO27+AQ27</f>
        <v>4207</v>
      </c>
      <c r="AT27" s="58"/>
      <c r="AU27" s="69">
        <v>0</v>
      </c>
      <c r="AV27" s="58"/>
      <c r="AW27" s="59"/>
      <c r="AX27" s="59"/>
      <c r="AY27" s="59"/>
      <c r="AZ27" s="59"/>
      <c r="BA27" s="59"/>
      <c r="BB27" s="60"/>
      <c r="BC27" s="58"/>
      <c r="BD27" s="59"/>
      <c r="BE27" s="59"/>
      <c r="BF27" s="59"/>
      <c r="BG27" s="59"/>
      <c r="BH27" s="60"/>
      <c r="BI27" s="63"/>
      <c r="BJ27" s="62"/>
      <c r="BK27" s="65"/>
      <c r="BL27" s="58"/>
      <c r="BM27" s="60"/>
      <c r="BN27" s="58"/>
      <c r="BO27" s="60"/>
      <c r="BP27" s="58"/>
      <c r="BQ27" s="60"/>
      <c r="BR27" s="70">
        <f>AW27+AY27+BA27+BH27+BK27+BM27+BO27+BQ27</f>
        <v>0</v>
      </c>
      <c r="BS27" s="71">
        <f>F27+AS27+BR27</f>
        <v>5709.5</v>
      </c>
      <c r="BT27" s="72">
        <v>1.8</v>
      </c>
      <c r="BU27" s="60">
        <f>BS27*BT27</f>
        <v>10277.1</v>
      </c>
      <c r="BV27" s="71">
        <f>SUM(BS27+BU27)</f>
        <v>15986.6</v>
      </c>
      <c r="BW27" s="71"/>
      <c r="BX27" s="71"/>
      <c r="BY27" s="71">
        <f>BV27+BW27+BX27</f>
        <v>15986.6</v>
      </c>
      <c r="BZ27" s="71">
        <f>BY27*BZ10</f>
        <v>5275.5780000000004</v>
      </c>
      <c r="CA27" s="73">
        <f>BV27+BZ27</f>
        <v>21262.178</v>
      </c>
      <c r="CB27" s="74">
        <f>CA27*12</f>
        <v>255146.136</v>
      </c>
      <c r="CC27" s="75">
        <f>(CA27*0.065)</f>
        <v>1382.0415700000001</v>
      </c>
      <c r="CD27" s="75">
        <f>(CA27+CC27)*8.5%</f>
        <v>1924.7586634500003</v>
      </c>
      <c r="CE27" s="75">
        <f>(CC27+CD27)*4+CB27</f>
        <v>268373.33693380002</v>
      </c>
    </row>
    <row r="28" spans="1:84" s="115" customFormat="1" ht="22.5" thickBot="1">
      <c r="A28" s="106" t="s">
        <v>102</v>
      </c>
      <c r="B28" s="107"/>
      <c r="C28" s="108">
        <f>C27</f>
        <v>0.5</v>
      </c>
      <c r="D28" s="108"/>
      <c r="E28" s="108"/>
      <c r="F28" s="108">
        <f>F27</f>
        <v>1502.5</v>
      </c>
      <c r="G28" s="108"/>
      <c r="H28" s="109">
        <f>H27</f>
        <v>0.45</v>
      </c>
      <c r="I28" s="108">
        <f>I27</f>
        <v>676.125</v>
      </c>
      <c r="J28" s="108"/>
      <c r="K28" s="109">
        <f t="shared" ref="K28:BX28" si="7">K27</f>
        <v>0</v>
      </c>
      <c r="L28" s="109">
        <f t="shared" si="7"/>
        <v>0.2</v>
      </c>
      <c r="M28" s="109">
        <f t="shared" si="7"/>
        <v>0</v>
      </c>
      <c r="N28" s="108">
        <f t="shared" si="7"/>
        <v>300.5</v>
      </c>
      <c r="O28" s="108">
        <f t="shared" si="7"/>
        <v>0</v>
      </c>
      <c r="P28" s="108">
        <f t="shared" si="7"/>
        <v>0</v>
      </c>
      <c r="Q28" s="108">
        <f t="shared" si="7"/>
        <v>0</v>
      </c>
      <c r="R28" s="108">
        <f t="shared" si="7"/>
        <v>0</v>
      </c>
      <c r="S28" s="108">
        <f t="shared" si="7"/>
        <v>0.15</v>
      </c>
      <c r="T28" s="108">
        <f t="shared" si="7"/>
        <v>225.375</v>
      </c>
      <c r="U28" s="108">
        <f t="shared" si="7"/>
        <v>0.05</v>
      </c>
      <c r="V28" s="108">
        <f t="shared" si="7"/>
        <v>75.125</v>
      </c>
      <c r="W28" s="109">
        <f t="shared" si="7"/>
        <v>0.5</v>
      </c>
      <c r="X28" s="108">
        <f t="shared" si="7"/>
        <v>751.25</v>
      </c>
      <c r="Y28" s="108">
        <f t="shared" si="7"/>
        <v>0</v>
      </c>
      <c r="Z28" s="109">
        <f t="shared" si="7"/>
        <v>0</v>
      </c>
      <c r="AA28" s="109">
        <f t="shared" si="7"/>
        <v>0</v>
      </c>
      <c r="AB28" s="109">
        <f t="shared" si="7"/>
        <v>0</v>
      </c>
      <c r="AC28" s="109"/>
      <c r="AD28" s="109">
        <f t="shared" si="7"/>
        <v>0</v>
      </c>
      <c r="AE28" s="108">
        <f t="shared" si="7"/>
        <v>0</v>
      </c>
      <c r="AF28" s="108">
        <f t="shared" si="7"/>
        <v>0</v>
      </c>
      <c r="AG28" s="109">
        <f t="shared" si="7"/>
        <v>0.6</v>
      </c>
      <c r="AH28" s="108">
        <f t="shared" si="7"/>
        <v>901.5</v>
      </c>
      <c r="AI28" s="109">
        <f t="shared" si="7"/>
        <v>0</v>
      </c>
      <c r="AJ28" s="108">
        <f t="shared" si="7"/>
        <v>0</v>
      </c>
      <c r="AK28" s="108">
        <f t="shared" si="7"/>
        <v>0</v>
      </c>
      <c r="AL28" s="108">
        <f t="shared" si="7"/>
        <v>0</v>
      </c>
      <c r="AM28" s="108">
        <f t="shared" si="7"/>
        <v>0</v>
      </c>
      <c r="AN28" s="108">
        <f t="shared" si="7"/>
        <v>0</v>
      </c>
      <c r="AO28" s="108">
        <f t="shared" si="7"/>
        <v>0</v>
      </c>
      <c r="AP28" s="108">
        <f t="shared" si="7"/>
        <v>0.85</v>
      </c>
      <c r="AQ28" s="108">
        <f t="shared" si="7"/>
        <v>1277.125</v>
      </c>
      <c r="AR28" s="108">
        <f t="shared" si="7"/>
        <v>2.8000000000000003</v>
      </c>
      <c r="AS28" s="108">
        <f t="shared" si="7"/>
        <v>4207</v>
      </c>
      <c r="AT28" s="108">
        <f t="shared" si="7"/>
        <v>0</v>
      </c>
      <c r="AU28" s="108">
        <f t="shared" si="7"/>
        <v>0</v>
      </c>
      <c r="AV28" s="108">
        <f t="shared" si="7"/>
        <v>0</v>
      </c>
      <c r="AW28" s="108">
        <f t="shared" si="7"/>
        <v>0</v>
      </c>
      <c r="AX28" s="108">
        <f t="shared" si="7"/>
        <v>0</v>
      </c>
      <c r="AY28" s="108">
        <f t="shared" si="7"/>
        <v>0</v>
      </c>
      <c r="AZ28" s="108">
        <f t="shared" si="7"/>
        <v>0</v>
      </c>
      <c r="BA28" s="108">
        <f t="shared" si="7"/>
        <v>0</v>
      </c>
      <c r="BB28" s="108">
        <f t="shared" si="7"/>
        <v>0</v>
      </c>
      <c r="BC28" s="108">
        <f t="shared" si="7"/>
        <v>0</v>
      </c>
      <c r="BD28" s="108">
        <f t="shared" si="7"/>
        <v>0</v>
      </c>
      <c r="BE28" s="108">
        <f t="shared" si="7"/>
        <v>0</v>
      </c>
      <c r="BF28" s="108">
        <f t="shared" si="7"/>
        <v>0</v>
      </c>
      <c r="BG28" s="108">
        <f t="shared" si="7"/>
        <v>0</v>
      </c>
      <c r="BH28" s="108">
        <f t="shared" si="7"/>
        <v>0</v>
      </c>
      <c r="BI28" s="110">
        <f t="shared" si="7"/>
        <v>0</v>
      </c>
      <c r="BJ28" s="110">
        <f t="shared" si="7"/>
        <v>0</v>
      </c>
      <c r="BK28" s="110">
        <f t="shared" si="7"/>
        <v>0</v>
      </c>
      <c r="BL28" s="108">
        <f t="shared" si="7"/>
        <v>0</v>
      </c>
      <c r="BM28" s="108">
        <f t="shared" si="7"/>
        <v>0</v>
      </c>
      <c r="BN28" s="108">
        <f t="shared" si="7"/>
        <v>0</v>
      </c>
      <c r="BO28" s="108">
        <f t="shared" si="7"/>
        <v>0</v>
      </c>
      <c r="BP28" s="108">
        <f t="shared" si="7"/>
        <v>0</v>
      </c>
      <c r="BQ28" s="108">
        <f t="shared" si="7"/>
        <v>0</v>
      </c>
      <c r="BR28" s="108">
        <f t="shared" si="7"/>
        <v>0</v>
      </c>
      <c r="BS28" s="108">
        <f t="shared" si="7"/>
        <v>5709.5</v>
      </c>
      <c r="BT28" s="108">
        <f t="shared" si="7"/>
        <v>1.8</v>
      </c>
      <c r="BU28" s="108">
        <f t="shared" si="7"/>
        <v>10277.1</v>
      </c>
      <c r="BV28" s="108">
        <f t="shared" si="7"/>
        <v>15986.6</v>
      </c>
      <c r="BW28" s="108">
        <f>BV28*BW11</f>
        <v>879.26300000000003</v>
      </c>
      <c r="BX28" s="108">
        <f t="shared" si="7"/>
        <v>0</v>
      </c>
      <c r="BY28" s="108"/>
      <c r="BZ28" s="108">
        <f>BZ27</f>
        <v>5275.5780000000004</v>
      </c>
      <c r="CA28" s="111">
        <f>CA27</f>
        <v>21262.178</v>
      </c>
      <c r="CB28" s="111">
        <f>CB27</f>
        <v>255146.136</v>
      </c>
      <c r="CC28" s="80">
        <f>SUM(CC27)</f>
        <v>1382.0415700000001</v>
      </c>
      <c r="CD28" s="80">
        <f>SUM(CD27)</f>
        <v>1924.7586634500003</v>
      </c>
      <c r="CE28" s="81">
        <f>SUM(CE27)</f>
        <v>268373.33693380002</v>
      </c>
    </row>
    <row r="29" spans="1:84">
      <c r="A29" s="220" t="s">
        <v>103</v>
      </c>
      <c r="B29" s="221"/>
      <c r="C29" s="54"/>
      <c r="D29" s="55"/>
      <c r="E29" s="59"/>
      <c r="F29" s="66"/>
      <c r="G29" s="58"/>
      <c r="H29" s="101"/>
      <c r="I29" s="60"/>
      <c r="J29" s="61"/>
      <c r="K29" s="58"/>
      <c r="L29" s="59"/>
      <c r="M29" s="59"/>
      <c r="N29" s="60"/>
      <c r="O29" s="58"/>
      <c r="P29" s="59"/>
      <c r="Q29" s="59"/>
      <c r="R29" s="60"/>
      <c r="S29" s="63"/>
      <c r="T29" s="64"/>
      <c r="U29" s="64"/>
      <c r="V29" s="65"/>
      <c r="W29" s="58"/>
      <c r="X29" s="60"/>
      <c r="Y29" s="58"/>
      <c r="Z29" s="101"/>
      <c r="AA29" s="101"/>
      <c r="AB29" s="101"/>
      <c r="AC29" s="119"/>
      <c r="AD29" s="120"/>
      <c r="AE29" s="58"/>
      <c r="AF29" s="59"/>
      <c r="AG29" s="59"/>
      <c r="AH29" s="60"/>
      <c r="AI29" s="58"/>
      <c r="AJ29" s="59"/>
      <c r="AK29" s="59"/>
      <c r="AL29" s="60"/>
      <c r="AM29" s="58"/>
      <c r="AN29" s="59"/>
      <c r="AO29" s="60"/>
      <c r="AP29" s="58"/>
      <c r="AQ29" s="60"/>
      <c r="AR29" s="70"/>
      <c r="AS29" s="68"/>
      <c r="AT29" s="58"/>
      <c r="AU29" s="69"/>
      <c r="AV29" s="58"/>
      <c r="AW29" s="59"/>
      <c r="AX29" s="59"/>
      <c r="AY29" s="59"/>
      <c r="AZ29" s="59"/>
      <c r="BA29" s="59"/>
      <c r="BB29" s="60"/>
      <c r="BC29" s="63"/>
      <c r="BD29" s="62"/>
      <c r="BE29" s="62"/>
      <c r="BF29" s="62"/>
      <c r="BG29" s="62"/>
      <c r="BH29" s="60">
        <f t="shared" ref="BH29:BH36" si="8">F29*(BC29+BD29+BE29)</f>
        <v>0</v>
      </c>
      <c r="BI29" s="63"/>
      <c r="BJ29" s="62"/>
      <c r="BK29" s="65"/>
      <c r="BL29" s="58"/>
      <c r="BM29" s="60"/>
      <c r="BN29" s="58"/>
      <c r="BO29" s="60"/>
      <c r="BP29" s="58"/>
      <c r="BQ29" s="60"/>
      <c r="BR29" s="70"/>
      <c r="BS29" s="71"/>
      <c r="BT29" s="72"/>
      <c r="BU29" s="60"/>
      <c r="BV29" s="71"/>
      <c r="BW29" s="71"/>
      <c r="BX29" s="71"/>
      <c r="BY29" s="71"/>
      <c r="BZ29" s="71"/>
      <c r="CA29" s="73"/>
      <c r="CB29" s="94"/>
      <c r="CC29" s="95"/>
      <c r="CD29" s="95"/>
      <c r="CE29" s="96"/>
    </row>
    <row r="30" spans="1:84">
      <c r="A30" s="121"/>
      <c r="B30" s="126" t="s">
        <v>104</v>
      </c>
      <c r="C30" s="127">
        <v>1</v>
      </c>
      <c r="D30" s="55">
        <v>2556</v>
      </c>
      <c r="E30" s="59"/>
      <c r="F30" s="66">
        <f t="shared" ref="F30:F36" si="9">SUM(C30*D30)</f>
        <v>2556</v>
      </c>
      <c r="G30" s="58">
        <v>2</v>
      </c>
      <c r="H30" s="62">
        <v>0.4</v>
      </c>
      <c r="I30" s="60">
        <f t="shared" ref="I30:I36" si="10">SUM(F30*H30)</f>
        <v>1022.4000000000001</v>
      </c>
      <c r="J30" s="61"/>
      <c r="K30" s="58"/>
      <c r="L30" s="59"/>
      <c r="M30" s="59"/>
      <c r="N30" s="60"/>
      <c r="O30" s="58"/>
      <c r="P30" s="59"/>
      <c r="Q30" s="59"/>
      <c r="R30" s="60"/>
      <c r="S30" s="63">
        <v>0.15</v>
      </c>
      <c r="T30" s="64">
        <f>F30*S30</f>
        <v>383.4</v>
      </c>
      <c r="U30" s="64">
        <v>0.05</v>
      </c>
      <c r="V30" s="65">
        <f>F30*U30</f>
        <v>127.80000000000001</v>
      </c>
      <c r="W30" s="58"/>
      <c r="X30" s="60"/>
      <c r="Y30" s="58"/>
      <c r="Z30" s="101"/>
      <c r="AA30" s="101"/>
      <c r="AB30" s="101"/>
      <c r="AC30" s="119"/>
      <c r="AD30" s="120"/>
      <c r="AE30" s="58"/>
      <c r="AF30" s="59"/>
      <c r="AG30" s="59"/>
      <c r="AH30" s="60"/>
      <c r="AI30" s="123"/>
      <c r="AJ30" s="101"/>
      <c r="AK30" s="101">
        <v>0.15</v>
      </c>
      <c r="AL30" s="65">
        <f t="shared" ref="AL30:AL36" si="11">D30*(AI30+AJ30+AK30)</f>
        <v>383.4</v>
      </c>
      <c r="AM30" s="58"/>
      <c r="AN30" s="59"/>
      <c r="AO30" s="60"/>
      <c r="AP30" s="58"/>
      <c r="AQ30" s="60"/>
      <c r="AR30" s="67">
        <f t="shared" ref="AR30:AR36" si="12">H30+K30+L30+M30+O30+P30+Q30+S30+U30+W30+Y30+Z30+AA30+AB30+AE30+AF30+AG30+AI30+AJ30+AK30+AM30+AN30+AP30</f>
        <v>0.75000000000000011</v>
      </c>
      <c r="AS30" s="68">
        <f t="shared" ref="AS30:AS36" si="13">I30+N30+R30+T30+V30+X30+AD30+AH30+AL30+AO30+AQ30</f>
        <v>1917</v>
      </c>
      <c r="AT30" s="58"/>
      <c r="AU30" s="69"/>
      <c r="AV30" s="58"/>
      <c r="AW30" s="59"/>
      <c r="AX30" s="59"/>
      <c r="AY30" s="59"/>
      <c r="AZ30" s="59"/>
      <c r="BA30" s="59"/>
      <c r="BB30" s="60"/>
      <c r="BC30" s="63"/>
      <c r="BD30" s="62"/>
      <c r="BE30" s="62"/>
      <c r="BF30" s="62"/>
      <c r="BG30" s="62"/>
      <c r="BH30" s="60">
        <f t="shared" si="8"/>
        <v>0</v>
      </c>
      <c r="BI30" s="63"/>
      <c r="BJ30" s="62">
        <v>0.1</v>
      </c>
      <c r="BK30" s="65">
        <f t="shared" ref="BK30:BK36" si="14">F30*BJ30</f>
        <v>255.60000000000002</v>
      </c>
      <c r="BL30" s="58"/>
      <c r="BM30" s="60"/>
      <c r="BN30" s="58"/>
      <c r="BO30" s="60"/>
      <c r="BP30" s="58"/>
      <c r="BQ30" s="60"/>
      <c r="BR30" s="70">
        <f>AW30+AY30+BA30+BH30+BK30+BM30+BO30+BQ30</f>
        <v>255.60000000000002</v>
      </c>
      <c r="BS30" s="71">
        <f t="shared" ref="BS30:BS36" si="15">AS30+BR30+F30</f>
        <v>4728.6000000000004</v>
      </c>
      <c r="BT30" s="72">
        <v>1.8</v>
      </c>
      <c r="BU30" s="60">
        <f t="shared" ref="BU30:BU36" si="16">BS30*BT30</f>
        <v>8511.4800000000014</v>
      </c>
      <c r="BV30" s="71">
        <f>SUM(BS30+BU30)</f>
        <v>13240.080000000002</v>
      </c>
      <c r="BW30" s="71">
        <f>BV30*BW11</f>
        <v>728.20440000000008</v>
      </c>
      <c r="BX30" s="71">
        <f>BX11-(BV30+BW30)</f>
        <v>2855.7155999999977</v>
      </c>
      <c r="BY30" s="71">
        <f>BV30+BW30+BX30</f>
        <v>16824</v>
      </c>
      <c r="BZ30" s="71">
        <f>BY30*BZ10</f>
        <v>5551.92</v>
      </c>
      <c r="CA30" s="73">
        <f t="shared" ref="CA30:CA36" si="17">BY30+BZ30</f>
        <v>22375.919999999998</v>
      </c>
      <c r="CB30" s="74">
        <f t="shared" ref="CB30:CB36" si="18">CA30*12</f>
        <v>268511.03999999998</v>
      </c>
      <c r="CC30" s="128">
        <f t="shared" ref="CC30:CC36" si="19">(CA30*0.065)</f>
        <v>1454.4348</v>
      </c>
      <c r="CD30" s="128">
        <f>(CA30+CC30)*8.5%</f>
        <v>2025.580158</v>
      </c>
      <c r="CE30" s="128">
        <f>(CC30+CD30)*4+CB30</f>
        <v>282431.09983199998</v>
      </c>
    </row>
    <row r="31" spans="1:84" ht="12">
      <c r="A31" s="52"/>
      <c r="B31" s="233" t="s">
        <v>105</v>
      </c>
      <c r="C31" s="129">
        <v>0.5</v>
      </c>
      <c r="D31" s="55">
        <v>2302</v>
      </c>
      <c r="E31" s="59"/>
      <c r="F31" s="66">
        <f t="shared" si="9"/>
        <v>1151</v>
      </c>
      <c r="G31" s="58">
        <v>1</v>
      </c>
      <c r="H31" s="59">
        <v>0</v>
      </c>
      <c r="I31" s="60">
        <f t="shared" si="10"/>
        <v>0</v>
      </c>
      <c r="J31" s="61"/>
      <c r="K31" s="58"/>
      <c r="L31" s="59"/>
      <c r="M31" s="59"/>
      <c r="N31" s="60"/>
      <c r="O31" s="58"/>
      <c r="P31" s="59"/>
      <c r="Q31" s="59"/>
      <c r="R31" s="60"/>
      <c r="S31" s="63">
        <v>0.15</v>
      </c>
      <c r="T31" s="64">
        <f t="shared" ref="T31:T36" si="20">F31*S31</f>
        <v>172.65</v>
      </c>
      <c r="U31" s="64">
        <v>0.05</v>
      </c>
      <c r="V31" s="65">
        <f t="shared" ref="V31:V36" si="21">F31*U31</f>
        <v>57.550000000000004</v>
      </c>
      <c r="W31" s="58"/>
      <c r="X31" s="60"/>
      <c r="Y31" s="58"/>
      <c r="Z31" s="101"/>
      <c r="AA31" s="101"/>
      <c r="AB31" s="101"/>
      <c r="AC31" s="119"/>
      <c r="AD31" s="120"/>
      <c r="AE31" s="58"/>
      <c r="AF31" s="59"/>
      <c r="AG31" s="59"/>
      <c r="AH31" s="60"/>
      <c r="AI31" s="123"/>
      <c r="AJ31" s="101"/>
      <c r="AK31" s="101">
        <v>0.15</v>
      </c>
      <c r="AL31" s="65">
        <f t="shared" si="11"/>
        <v>345.3</v>
      </c>
      <c r="AM31" s="58"/>
      <c r="AN31" s="59"/>
      <c r="AO31" s="60"/>
      <c r="AP31" s="58"/>
      <c r="AQ31" s="60"/>
      <c r="AR31" s="67">
        <f t="shared" si="12"/>
        <v>0.35</v>
      </c>
      <c r="AS31" s="68">
        <f t="shared" si="13"/>
        <v>575.5</v>
      </c>
      <c r="AT31" s="58"/>
      <c r="AU31" s="69"/>
      <c r="AV31" s="58"/>
      <c r="AW31" s="59"/>
      <c r="AX31" s="59"/>
      <c r="AY31" s="59"/>
      <c r="AZ31" s="59"/>
      <c r="BA31" s="59"/>
      <c r="BB31" s="60"/>
      <c r="BC31" s="63"/>
      <c r="BD31" s="62"/>
      <c r="BE31" s="62"/>
      <c r="BF31" s="62"/>
      <c r="BG31" s="62"/>
      <c r="BH31" s="60">
        <f t="shared" si="8"/>
        <v>0</v>
      </c>
      <c r="BI31" s="63"/>
      <c r="BJ31" s="62">
        <v>0.1</v>
      </c>
      <c r="BK31" s="65">
        <f t="shared" si="14"/>
        <v>115.10000000000001</v>
      </c>
      <c r="BL31" s="58"/>
      <c r="BM31" s="60"/>
      <c r="BN31" s="58"/>
      <c r="BO31" s="60"/>
      <c r="BP31" s="58"/>
      <c r="BQ31" s="60"/>
      <c r="BR31" s="70">
        <f t="shared" ref="BR31:BR36" si="22">AW31+AY31+BA31+BH31+BK31+BM31+BO31+BQ31</f>
        <v>115.10000000000001</v>
      </c>
      <c r="BS31" s="71">
        <f t="shared" si="15"/>
        <v>1841.6</v>
      </c>
      <c r="BT31" s="72">
        <v>1.8</v>
      </c>
      <c r="BU31" s="60">
        <f t="shared" si="16"/>
        <v>3314.88</v>
      </c>
      <c r="BV31" s="71">
        <f t="shared" ref="BV31:BV36" si="23">SUM(BS31+BU31)</f>
        <v>5156.4799999999996</v>
      </c>
      <c r="BW31" s="71">
        <f>BV31*BW11</f>
        <v>283.60639999999995</v>
      </c>
      <c r="BX31" s="71">
        <f>BX11/2-(BV31+BW31)</f>
        <v>2971.9136000000008</v>
      </c>
      <c r="BY31" s="71">
        <f t="shared" ref="BY31:BY36" si="24">BV31+BW31+BX31</f>
        <v>8412</v>
      </c>
      <c r="BZ31" s="71">
        <f>BY31*BZ10</f>
        <v>2775.96</v>
      </c>
      <c r="CA31" s="73">
        <f t="shared" si="17"/>
        <v>11187.96</v>
      </c>
      <c r="CB31" s="74">
        <f t="shared" si="18"/>
        <v>134255.51999999999</v>
      </c>
      <c r="CC31" s="128">
        <f t="shared" si="19"/>
        <v>727.2174</v>
      </c>
      <c r="CD31" s="128">
        <f t="shared" ref="CD31:CD36" si="25">(CA31+CC31)*8.5%</f>
        <v>1012.790079</v>
      </c>
      <c r="CE31" s="128">
        <f t="shared" ref="CE31:CE36" si="26">(CC31+CD31)*4+CB31</f>
        <v>141215.54991599999</v>
      </c>
    </row>
    <row r="32" spans="1:84" ht="12">
      <c r="A32" s="52"/>
      <c r="B32" s="233" t="s">
        <v>122</v>
      </c>
      <c r="C32" s="129">
        <v>0.5</v>
      </c>
      <c r="D32" s="55">
        <v>2302</v>
      </c>
      <c r="E32" s="59"/>
      <c r="F32" s="66">
        <f t="shared" si="9"/>
        <v>1151</v>
      </c>
      <c r="G32" s="58">
        <v>1</v>
      </c>
      <c r="H32" s="59">
        <v>0</v>
      </c>
      <c r="I32" s="60">
        <f t="shared" si="10"/>
        <v>0</v>
      </c>
      <c r="J32" s="61"/>
      <c r="K32" s="58"/>
      <c r="L32" s="59"/>
      <c r="M32" s="59"/>
      <c r="N32" s="60"/>
      <c r="O32" s="58"/>
      <c r="P32" s="59"/>
      <c r="Q32" s="59"/>
      <c r="R32" s="60"/>
      <c r="S32" s="63">
        <v>0.15</v>
      </c>
      <c r="T32" s="64">
        <f t="shared" si="20"/>
        <v>172.65</v>
      </c>
      <c r="U32" s="64">
        <v>0.05</v>
      </c>
      <c r="V32" s="65">
        <f t="shared" si="21"/>
        <v>57.550000000000004</v>
      </c>
      <c r="W32" s="58"/>
      <c r="X32" s="60"/>
      <c r="Y32" s="58"/>
      <c r="Z32" s="101"/>
      <c r="AA32" s="101"/>
      <c r="AB32" s="101"/>
      <c r="AC32" s="119"/>
      <c r="AD32" s="120"/>
      <c r="AE32" s="58"/>
      <c r="AF32" s="59"/>
      <c r="AG32" s="59"/>
      <c r="AH32" s="60"/>
      <c r="AI32" s="123"/>
      <c r="AJ32" s="101"/>
      <c r="AK32" s="101">
        <v>0.15</v>
      </c>
      <c r="AL32" s="65">
        <f t="shared" si="11"/>
        <v>345.3</v>
      </c>
      <c r="AM32" s="58"/>
      <c r="AN32" s="59"/>
      <c r="AO32" s="60"/>
      <c r="AP32" s="58"/>
      <c r="AQ32" s="60"/>
      <c r="AR32" s="67">
        <f t="shared" si="12"/>
        <v>0.35</v>
      </c>
      <c r="AS32" s="68">
        <f t="shared" si="13"/>
        <v>575.5</v>
      </c>
      <c r="AT32" s="58"/>
      <c r="AU32" s="69"/>
      <c r="AV32" s="58"/>
      <c r="AW32" s="59"/>
      <c r="AX32" s="59"/>
      <c r="AY32" s="59"/>
      <c r="AZ32" s="59"/>
      <c r="BA32" s="59"/>
      <c r="BB32" s="60"/>
      <c r="BC32" s="63"/>
      <c r="BD32" s="62"/>
      <c r="BE32" s="62"/>
      <c r="BF32" s="62"/>
      <c r="BG32" s="62"/>
      <c r="BH32" s="60">
        <f t="shared" si="8"/>
        <v>0</v>
      </c>
      <c r="BI32" s="63"/>
      <c r="BJ32" s="62">
        <v>0.1</v>
      </c>
      <c r="BK32" s="65">
        <f t="shared" si="14"/>
        <v>115.10000000000001</v>
      </c>
      <c r="BL32" s="58"/>
      <c r="BM32" s="60"/>
      <c r="BN32" s="58"/>
      <c r="BO32" s="60"/>
      <c r="BP32" s="58"/>
      <c r="BQ32" s="60"/>
      <c r="BR32" s="70">
        <f t="shared" si="22"/>
        <v>115.10000000000001</v>
      </c>
      <c r="BS32" s="71">
        <f t="shared" si="15"/>
        <v>1841.6</v>
      </c>
      <c r="BT32" s="72">
        <v>1.8</v>
      </c>
      <c r="BU32" s="60">
        <f t="shared" si="16"/>
        <v>3314.88</v>
      </c>
      <c r="BV32" s="71">
        <f t="shared" si="23"/>
        <v>5156.4799999999996</v>
      </c>
      <c r="BW32" s="71">
        <f>BV32*BW11</f>
        <v>283.60639999999995</v>
      </c>
      <c r="BX32" s="71">
        <f>BX11/2-(BV32+BW32)</f>
        <v>2971.9136000000008</v>
      </c>
      <c r="BY32" s="71">
        <f t="shared" si="24"/>
        <v>8412</v>
      </c>
      <c r="BZ32" s="71">
        <f>BY32*BZ10</f>
        <v>2775.96</v>
      </c>
      <c r="CA32" s="73">
        <f t="shared" si="17"/>
        <v>11187.96</v>
      </c>
      <c r="CB32" s="74">
        <f t="shared" si="18"/>
        <v>134255.51999999999</v>
      </c>
      <c r="CC32" s="128">
        <f t="shared" si="19"/>
        <v>727.2174</v>
      </c>
      <c r="CD32" s="128">
        <f t="shared" si="25"/>
        <v>1012.790079</v>
      </c>
      <c r="CE32" s="128">
        <f t="shared" si="26"/>
        <v>141215.54991599999</v>
      </c>
    </row>
    <row r="33" spans="1:84" ht="12">
      <c r="A33" s="52"/>
      <c r="B33" s="233" t="s">
        <v>106</v>
      </c>
      <c r="C33" s="129">
        <v>0.75</v>
      </c>
      <c r="D33" s="55">
        <v>2302</v>
      </c>
      <c r="E33" s="59"/>
      <c r="F33" s="66">
        <f t="shared" si="9"/>
        <v>1726.5</v>
      </c>
      <c r="G33" s="58">
        <v>1</v>
      </c>
      <c r="H33" s="59">
        <v>0</v>
      </c>
      <c r="I33" s="60">
        <f t="shared" si="10"/>
        <v>0</v>
      </c>
      <c r="J33" s="61"/>
      <c r="K33" s="58"/>
      <c r="L33" s="59"/>
      <c r="M33" s="59"/>
      <c r="N33" s="60"/>
      <c r="O33" s="58"/>
      <c r="P33" s="59"/>
      <c r="Q33" s="59"/>
      <c r="R33" s="60"/>
      <c r="S33" s="63">
        <v>0.15</v>
      </c>
      <c r="T33" s="64">
        <f t="shared" si="20"/>
        <v>258.97499999999997</v>
      </c>
      <c r="U33" s="64">
        <v>0.05</v>
      </c>
      <c r="V33" s="65">
        <f t="shared" si="21"/>
        <v>86.325000000000003</v>
      </c>
      <c r="W33" s="58"/>
      <c r="X33" s="60"/>
      <c r="Y33" s="58"/>
      <c r="Z33" s="101"/>
      <c r="AA33" s="101"/>
      <c r="AB33" s="101"/>
      <c r="AC33" s="119"/>
      <c r="AD33" s="120"/>
      <c r="AE33" s="58"/>
      <c r="AF33" s="59"/>
      <c r="AG33" s="59"/>
      <c r="AH33" s="60"/>
      <c r="AI33" s="123"/>
      <c r="AJ33" s="101"/>
      <c r="AK33" s="101">
        <v>0.15</v>
      </c>
      <c r="AL33" s="65">
        <f t="shared" si="11"/>
        <v>345.3</v>
      </c>
      <c r="AM33" s="58"/>
      <c r="AN33" s="59"/>
      <c r="AO33" s="60"/>
      <c r="AP33" s="58"/>
      <c r="AQ33" s="60"/>
      <c r="AR33" s="67">
        <f t="shared" si="12"/>
        <v>0.35</v>
      </c>
      <c r="AS33" s="68">
        <f t="shared" si="13"/>
        <v>690.59999999999991</v>
      </c>
      <c r="AT33" s="58"/>
      <c r="AU33" s="69"/>
      <c r="AV33" s="58"/>
      <c r="AW33" s="59"/>
      <c r="AX33" s="59"/>
      <c r="AY33" s="59"/>
      <c r="AZ33" s="59"/>
      <c r="BA33" s="59"/>
      <c r="BB33" s="60"/>
      <c r="BC33" s="63"/>
      <c r="BD33" s="62"/>
      <c r="BE33" s="62"/>
      <c r="BF33" s="62"/>
      <c r="BG33" s="62"/>
      <c r="BH33" s="60">
        <f t="shared" si="8"/>
        <v>0</v>
      </c>
      <c r="BI33" s="63"/>
      <c r="BJ33" s="62">
        <v>0.1</v>
      </c>
      <c r="BK33" s="65">
        <f t="shared" si="14"/>
        <v>172.65</v>
      </c>
      <c r="BL33" s="58"/>
      <c r="BM33" s="60"/>
      <c r="BN33" s="58"/>
      <c r="BO33" s="60"/>
      <c r="BP33" s="58"/>
      <c r="BQ33" s="60"/>
      <c r="BR33" s="70">
        <f t="shared" si="22"/>
        <v>172.65</v>
      </c>
      <c r="BS33" s="71">
        <f t="shared" si="15"/>
        <v>2589.75</v>
      </c>
      <c r="BT33" s="72">
        <v>1.8</v>
      </c>
      <c r="BU33" s="60">
        <f t="shared" si="16"/>
        <v>4661.55</v>
      </c>
      <c r="BV33" s="71">
        <f t="shared" si="23"/>
        <v>7251.3</v>
      </c>
      <c r="BW33" s="71">
        <f>BV33*BW11</f>
        <v>398.82150000000001</v>
      </c>
      <c r="BX33" s="71">
        <f>BX11*C33-(BV33+BW33)</f>
        <v>4967.8784999999998</v>
      </c>
      <c r="BY33" s="71">
        <f t="shared" si="24"/>
        <v>12618</v>
      </c>
      <c r="BZ33" s="71">
        <f>BY33*BZ10</f>
        <v>4163.9400000000005</v>
      </c>
      <c r="CA33" s="73">
        <f t="shared" si="17"/>
        <v>16781.940000000002</v>
      </c>
      <c r="CB33" s="74">
        <f t="shared" si="18"/>
        <v>201383.28000000003</v>
      </c>
      <c r="CC33" s="128">
        <f t="shared" si="19"/>
        <v>1090.8261000000002</v>
      </c>
      <c r="CD33" s="128">
        <f t="shared" si="25"/>
        <v>1519.1851185000003</v>
      </c>
      <c r="CE33" s="128">
        <f t="shared" si="26"/>
        <v>211823.32487400004</v>
      </c>
    </row>
    <row r="34" spans="1:84" ht="12">
      <c r="A34" s="52"/>
      <c r="B34" s="233" t="s">
        <v>107</v>
      </c>
      <c r="C34" s="129">
        <v>2</v>
      </c>
      <c r="D34" s="55">
        <v>2302</v>
      </c>
      <c r="E34" s="130"/>
      <c r="F34" s="66">
        <f t="shared" si="9"/>
        <v>4604</v>
      </c>
      <c r="G34" s="58">
        <v>1</v>
      </c>
      <c r="H34" s="59">
        <v>0</v>
      </c>
      <c r="I34" s="60">
        <f t="shared" si="10"/>
        <v>0</v>
      </c>
      <c r="J34" s="61"/>
      <c r="K34" s="58"/>
      <c r="L34" s="59"/>
      <c r="M34" s="59"/>
      <c r="N34" s="60"/>
      <c r="O34" s="58"/>
      <c r="P34" s="59"/>
      <c r="Q34" s="59"/>
      <c r="R34" s="60"/>
      <c r="S34" s="63">
        <v>0.15</v>
      </c>
      <c r="T34" s="64">
        <f t="shared" si="20"/>
        <v>690.6</v>
      </c>
      <c r="U34" s="64">
        <v>0.05</v>
      </c>
      <c r="V34" s="65">
        <f t="shared" si="21"/>
        <v>230.20000000000002</v>
      </c>
      <c r="W34" s="58"/>
      <c r="X34" s="60"/>
      <c r="Y34" s="58"/>
      <c r="Z34" s="101"/>
      <c r="AA34" s="101"/>
      <c r="AB34" s="101"/>
      <c r="AC34" s="119"/>
      <c r="AD34" s="120"/>
      <c r="AE34" s="58"/>
      <c r="AF34" s="59"/>
      <c r="AG34" s="59"/>
      <c r="AH34" s="60"/>
      <c r="AI34" s="123"/>
      <c r="AJ34" s="101"/>
      <c r="AK34" s="101">
        <v>0.15</v>
      </c>
      <c r="AL34" s="65">
        <f t="shared" si="11"/>
        <v>345.3</v>
      </c>
      <c r="AM34" s="58"/>
      <c r="AN34" s="59"/>
      <c r="AO34" s="60"/>
      <c r="AP34" s="58"/>
      <c r="AQ34" s="60"/>
      <c r="AR34" s="67">
        <f t="shared" si="12"/>
        <v>0.35</v>
      </c>
      <c r="AS34" s="68">
        <f t="shared" si="13"/>
        <v>1266.1000000000001</v>
      </c>
      <c r="AT34" s="58"/>
      <c r="AU34" s="69"/>
      <c r="AV34" s="58"/>
      <c r="AW34" s="59"/>
      <c r="AX34" s="59"/>
      <c r="AY34" s="59"/>
      <c r="AZ34" s="59"/>
      <c r="BA34" s="59"/>
      <c r="BB34" s="60"/>
      <c r="BC34" s="63"/>
      <c r="BD34" s="62"/>
      <c r="BE34" s="62"/>
      <c r="BF34" s="62"/>
      <c r="BG34" s="62"/>
      <c r="BH34" s="60">
        <f t="shared" si="8"/>
        <v>0</v>
      </c>
      <c r="BI34" s="63"/>
      <c r="BJ34" s="62">
        <v>0.1</v>
      </c>
      <c r="BK34" s="65">
        <f t="shared" si="14"/>
        <v>460.40000000000003</v>
      </c>
      <c r="BL34" s="63">
        <v>0.3</v>
      </c>
      <c r="BM34" s="65">
        <f>F34*BL34</f>
        <v>1381.2</v>
      </c>
      <c r="BN34" s="58"/>
      <c r="BO34" s="60"/>
      <c r="BP34" s="58"/>
      <c r="BQ34" s="60"/>
      <c r="BR34" s="70">
        <f>AW34+AY34+BA34+BH34+BK34+BM34+BO34+BQ34</f>
        <v>1841.6000000000001</v>
      </c>
      <c r="BS34" s="71">
        <f t="shared" si="15"/>
        <v>7711.7000000000007</v>
      </c>
      <c r="BT34" s="72">
        <v>1.8</v>
      </c>
      <c r="BU34" s="60">
        <f t="shared" si="16"/>
        <v>13881.060000000001</v>
      </c>
      <c r="BV34" s="71">
        <f t="shared" si="23"/>
        <v>21592.760000000002</v>
      </c>
      <c r="BW34" s="71">
        <f>BV34*BW11</f>
        <v>1187.6018000000001</v>
      </c>
      <c r="BX34" s="71">
        <f>BX11*C34-(BV34+BW34)</f>
        <v>10867.638199999998</v>
      </c>
      <c r="BY34" s="71">
        <f t="shared" si="24"/>
        <v>33648</v>
      </c>
      <c r="BZ34" s="71">
        <f>BY34*BZ10</f>
        <v>11103.84</v>
      </c>
      <c r="CA34" s="73">
        <f t="shared" si="17"/>
        <v>44751.839999999997</v>
      </c>
      <c r="CB34" s="74">
        <f t="shared" si="18"/>
        <v>537022.07999999996</v>
      </c>
      <c r="CC34" s="128">
        <f t="shared" si="19"/>
        <v>2908.8696</v>
      </c>
      <c r="CD34" s="128">
        <f t="shared" si="25"/>
        <v>4051.160316</v>
      </c>
      <c r="CE34" s="128">
        <f t="shared" si="26"/>
        <v>564862.19966399996</v>
      </c>
    </row>
    <row r="35" spans="1:84" ht="12">
      <c r="A35" s="52"/>
      <c r="B35" s="233" t="s">
        <v>108</v>
      </c>
      <c r="C35" s="129">
        <v>0.5</v>
      </c>
      <c r="D35" s="55">
        <v>2302</v>
      </c>
      <c r="E35" s="59"/>
      <c r="F35" s="66">
        <f t="shared" si="9"/>
        <v>1151</v>
      </c>
      <c r="G35" s="58">
        <v>1</v>
      </c>
      <c r="H35" s="59">
        <v>0</v>
      </c>
      <c r="I35" s="60">
        <f t="shared" si="10"/>
        <v>0</v>
      </c>
      <c r="J35" s="61"/>
      <c r="K35" s="58"/>
      <c r="L35" s="59"/>
      <c r="M35" s="59"/>
      <c r="N35" s="60"/>
      <c r="O35" s="58"/>
      <c r="P35" s="59"/>
      <c r="Q35" s="59"/>
      <c r="R35" s="60"/>
      <c r="S35" s="63">
        <v>0.15</v>
      </c>
      <c r="T35" s="64">
        <f t="shared" si="20"/>
        <v>172.65</v>
      </c>
      <c r="U35" s="64">
        <v>0.05</v>
      </c>
      <c r="V35" s="65">
        <f t="shared" si="21"/>
        <v>57.550000000000004</v>
      </c>
      <c r="W35" s="58"/>
      <c r="X35" s="60"/>
      <c r="Y35" s="58"/>
      <c r="Z35" s="101"/>
      <c r="AA35" s="101"/>
      <c r="AB35" s="101"/>
      <c r="AC35" s="119"/>
      <c r="AD35" s="120"/>
      <c r="AE35" s="58"/>
      <c r="AF35" s="59"/>
      <c r="AG35" s="59"/>
      <c r="AH35" s="60"/>
      <c r="AI35" s="123"/>
      <c r="AJ35" s="101"/>
      <c r="AK35" s="101">
        <v>0.15</v>
      </c>
      <c r="AL35" s="65">
        <f t="shared" si="11"/>
        <v>345.3</v>
      </c>
      <c r="AM35" s="58"/>
      <c r="AN35" s="59"/>
      <c r="AO35" s="60"/>
      <c r="AP35" s="58"/>
      <c r="AQ35" s="60"/>
      <c r="AR35" s="67">
        <f t="shared" si="12"/>
        <v>0.35</v>
      </c>
      <c r="AS35" s="68">
        <f t="shared" si="13"/>
        <v>575.5</v>
      </c>
      <c r="AT35" s="58"/>
      <c r="AU35" s="69"/>
      <c r="AV35" s="58"/>
      <c r="AW35" s="59"/>
      <c r="AX35" s="59"/>
      <c r="AY35" s="59"/>
      <c r="AZ35" s="59"/>
      <c r="BA35" s="59"/>
      <c r="BB35" s="60"/>
      <c r="BC35" s="63"/>
      <c r="BD35" s="62"/>
      <c r="BE35" s="62"/>
      <c r="BF35" s="62"/>
      <c r="BG35" s="62"/>
      <c r="BH35" s="60">
        <f t="shared" si="8"/>
        <v>0</v>
      </c>
      <c r="BI35" s="63"/>
      <c r="BJ35" s="62">
        <v>0.1</v>
      </c>
      <c r="BK35" s="65">
        <f t="shared" si="14"/>
        <v>115.10000000000001</v>
      </c>
      <c r="BL35" s="58"/>
      <c r="BM35" s="60"/>
      <c r="BN35" s="58"/>
      <c r="BO35" s="60"/>
      <c r="BP35" s="58"/>
      <c r="BQ35" s="60"/>
      <c r="BR35" s="70">
        <f t="shared" si="22"/>
        <v>115.10000000000001</v>
      </c>
      <c r="BS35" s="71">
        <f t="shared" si="15"/>
        <v>1841.6</v>
      </c>
      <c r="BT35" s="72">
        <v>1.8</v>
      </c>
      <c r="BU35" s="60">
        <f t="shared" si="16"/>
        <v>3314.88</v>
      </c>
      <c r="BV35" s="71">
        <f t="shared" si="23"/>
        <v>5156.4799999999996</v>
      </c>
      <c r="BW35" s="71">
        <f>BV35*BW11</f>
        <v>283.60639999999995</v>
      </c>
      <c r="BX35" s="71">
        <f>BX11/2-(BV35+BW35)</f>
        <v>2971.9136000000008</v>
      </c>
      <c r="BY35" s="71">
        <f t="shared" si="24"/>
        <v>8412</v>
      </c>
      <c r="BZ35" s="71">
        <f>BY35*BZ10</f>
        <v>2775.96</v>
      </c>
      <c r="CA35" s="73">
        <f t="shared" si="17"/>
        <v>11187.96</v>
      </c>
      <c r="CB35" s="74">
        <f t="shared" si="18"/>
        <v>134255.51999999999</v>
      </c>
      <c r="CC35" s="128">
        <f t="shared" si="19"/>
        <v>727.2174</v>
      </c>
      <c r="CD35" s="128">
        <f t="shared" si="25"/>
        <v>1012.790079</v>
      </c>
      <c r="CE35" s="128">
        <f t="shared" si="26"/>
        <v>141215.54991599999</v>
      </c>
    </row>
    <row r="36" spans="1:84" ht="12.75" thickBot="1">
      <c r="A36" s="52"/>
      <c r="B36" s="234" t="s">
        <v>109</v>
      </c>
      <c r="C36" s="129">
        <v>1</v>
      </c>
      <c r="D36" s="55">
        <v>2302</v>
      </c>
      <c r="E36" s="59"/>
      <c r="F36" s="66">
        <f t="shared" si="9"/>
        <v>2302</v>
      </c>
      <c r="G36" s="58">
        <v>1</v>
      </c>
      <c r="H36" s="59">
        <v>0</v>
      </c>
      <c r="I36" s="60">
        <f t="shared" si="10"/>
        <v>0</v>
      </c>
      <c r="J36" s="61"/>
      <c r="K36" s="58"/>
      <c r="L36" s="59"/>
      <c r="M36" s="59"/>
      <c r="N36" s="60"/>
      <c r="O36" s="58"/>
      <c r="P36" s="59"/>
      <c r="Q36" s="59"/>
      <c r="R36" s="60"/>
      <c r="S36" s="63">
        <v>0.15</v>
      </c>
      <c r="T36" s="64">
        <f t="shared" si="20"/>
        <v>345.3</v>
      </c>
      <c r="U36" s="64">
        <v>0.05</v>
      </c>
      <c r="V36" s="65">
        <f t="shared" si="21"/>
        <v>115.10000000000001</v>
      </c>
      <c r="W36" s="58"/>
      <c r="X36" s="60"/>
      <c r="Y36" s="58"/>
      <c r="Z36" s="101"/>
      <c r="AA36" s="101"/>
      <c r="AB36" s="101"/>
      <c r="AC36" s="119"/>
      <c r="AD36" s="120"/>
      <c r="AE36" s="58"/>
      <c r="AF36" s="59"/>
      <c r="AG36" s="59"/>
      <c r="AH36" s="60"/>
      <c r="AI36" s="123"/>
      <c r="AJ36" s="101"/>
      <c r="AK36" s="101">
        <v>0.15</v>
      </c>
      <c r="AL36" s="65">
        <f t="shared" si="11"/>
        <v>345.3</v>
      </c>
      <c r="AM36" s="58"/>
      <c r="AN36" s="59"/>
      <c r="AO36" s="60"/>
      <c r="AP36" s="58"/>
      <c r="AQ36" s="60"/>
      <c r="AR36" s="67">
        <f t="shared" si="12"/>
        <v>0.35</v>
      </c>
      <c r="AS36" s="68">
        <f t="shared" si="13"/>
        <v>805.7</v>
      </c>
      <c r="AT36" s="58"/>
      <c r="AU36" s="69"/>
      <c r="AV36" s="58"/>
      <c r="AW36" s="59"/>
      <c r="AX36" s="59"/>
      <c r="AY36" s="59"/>
      <c r="AZ36" s="59"/>
      <c r="BA36" s="59"/>
      <c r="BB36" s="60"/>
      <c r="BC36" s="63"/>
      <c r="BD36" s="62"/>
      <c r="BE36" s="62"/>
      <c r="BF36" s="62"/>
      <c r="BG36" s="62"/>
      <c r="BH36" s="60">
        <f t="shared" si="8"/>
        <v>0</v>
      </c>
      <c r="BI36" s="63"/>
      <c r="BJ36" s="62">
        <v>0.05</v>
      </c>
      <c r="BK36" s="65">
        <f t="shared" si="14"/>
        <v>115.10000000000001</v>
      </c>
      <c r="BL36" s="58"/>
      <c r="BM36" s="60"/>
      <c r="BN36" s="58"/>
      <c r="BO36" s="60"/>
      <c r="BP36" s="58"/>
      <c r="BQ36" s="60"/>
      <c r="BR36" s="70">
        <f t="shared" si="22"/>
        <v>115.10000000000001</v>
      </c>
      <c r="BS36" s="71">
        <f t="shared" si="15"/>
        <v>3222.8</v>
      </c>
      <c r="BT36" s="72">
        <v>1.8</v>
      </c>
      <c r="BU36" s="60">
        <f t="shared" si="16"/>
        <v>5801.0400000000009</v>
      </c>
      <c r="BV36" s="71">
        <f t="shared" si="23"/>
        <v>9023.84</v>
      </c>
      <c r="BW36" s="71">
        <f>BV36*BW11</f>
        <v>496.31119999999999</v>
      </c>
      <c r="BX36" s="71">
        <f>BX11-(BV36+BW36)</f>
        <v>7303.8487999999998</v>
      </c>
      <c r="BY36" s="71">
        <f t="shared" si="24"/>
        <v>16824</v>
      </c>
      <c r="BZ36" s="71">
        <f>BY36*BZ10</f>
        <v>5551.92</v>
      </c>
      <c r="CA36" s="73">
        <f t="shared" si="17"/>
        <v>22375.919999999998</v>
      </c>
      <c r="CB36" s="74">
        <f t="shared" si="18"/>
        <v>268511.03999999998</v>
      </c>
      <c r="CC36" s="128">
        <f t="shared" si="19"/>
        <v>1454.4348</v>
      </c>
      <c r="CD36" s="128">
        <f t="shared" si="25"/>
        <v>2025.580158</v>
      </c>
      <c r="CE36" s="128">
        <f t="shared" si="26"/>
        <v>282431.09983199998</v>
      </c>
    </row>
    <row r="37" spans="1:84" s="115" customFormat="1" ht="22.5" thickBot="1">
      <c r="A37" s="106" t="s">
        <v>110</v>
      </c>
      <c r="B37" s="107"/>
      <c r="C37" s="108">
        <f>SUM(C30:C36)</f>
        <v>6.25</v>
      </c>
      <c r="D37" s="108"/>
      <c r="E37" s="108"/>
      <c r="F37" s="108">
        <f>SUM(F30:F36)</f>
        <v>14641.5</v>
      </c>
      <c r="G37" s="108"/>
      <c r="H37" s="108">
        <f>SUM(H30:H36)</f>
        <v>0.4</v>
      </c>
      <c r="I37" s="108">
        <f>SUM(I30:I36)</f>
        <v>1022.4000000000001</v>
      </c>
      <c r="J37" s="108"/>
      <c r="K37" s="109"/>
      <c r="L37" s="109"/>
      <c r="M37" s="109"/>
      <c r="N37" s="108">
        <f>SUM(N30:N36)</f>
        <v>0</v>
      </c>
      <c r="O37" s="108"/>
      <c r="P37" s="108"/>
      <c r="Q37" s="108"/>
      <c r="R37" s="108">
        <f>SUM(R30:R36)</f>
        <v>0</v>
      </c>
      <c r="S37" s="108"/>
      <c r="T37" s="108">
        <f>SUM(T30:T36)</f>
        <v>2196.2250000000004</v>
      </c>
      <c r="U37" s="108"/>
      <c r="V37" s="108">
        <f>SUM(V30:V36)</f>
        <v>732.07500000000005</v>
      </c>
      <c r="W37" s="108"/>
      <c r="X37" s="108">
        <f>SUM(X30:X36)</f>
        <v>0</v>
      </c>
      <c r="Y37" s="108"/>
      <c r="Z37" s="109"/>
      <c r="AA37" s="109"/>
      <c r="AB37" s="109"/>
      <c r="AC37" s="109"/>
      <c r="AD37" s="109">
        <f>SUM(AD30:AD36)</f>
        <v>0</v>
      </c>
      <c r="AE37" s="108"/>
      <c r="AF37" s="108"/>
      <c r="AG37" s="108"/>
      <c r="AH37" s="108">
        <f>SUM(AH30:AH36)</f>
        <v>0</v>
      </c>
      <c r="AI37" s="109">
        <f>SUM(AI30:AI36)</f>
        <v>0</v>
      </c>
      <c r="AJ37" s="109">
        <f>SUM(AJ30:AJ36)</f>
        <v>0</v>
      </c>
      <c r="AK37" s="109">
        <f>SUM(AK30:AK36)</f>
        <v>1.05</v>
      </c>
      <c r="AL37" s="108">
        <f>SUM(AL30:AL36)</f>
        <v>2455.2000000000003</v>
      </c>
      <c r="AM37" s="108"/>
      <c r="AN37" s="108"/>
      <c r="AO37" s="108">
        <f>SUM(AO30:AO36)</f>
        <v>0</v>
      </c>
      <c r="AP37" s="108"/>
      <c r="AQ37" s="108">
        <f>SUM(AQ30:AQ36)</f>
        <v>0</v>
      </c>
      <c r="AR37" s="108">
        <f>SUM(AR30:AR36)</f>
        <v>2.8500000000000005</v>
      </c>
      <c r="AS37" s="108">
        <f>SUM(AS30:AS36)</f>
        <v>6405.9</v>
      </c>
      <c r="AT37" s="108"/>
      <c r="AU37" s="108">
        <f>SUM(AU30:AU36)</f>
        <v>0</v>
      </c>
      <c r="AV37" s="108"/>
      <c r="AW37" s="108"/>
      <c r="AX37" s="108"/>
      <c r="AY37" s="108">
        <f>SUM(AY30:AY36)</f>
        <v>0</v>
      </c>
      <c r="AZ37" s="108"/>
      <c r="BA37" s="108">
        <f>SUM(BA30:BA36)</f>
        <v>0</v>
      </c>
      <c r="BB37" s="108"/>
      <c r="BC37" s="108"/>
      <c r="BD37" s="108"/>
      <c r="BE37" s="108"/>
      <c r="BF37" s="108"/>
      <c r="BG37" s="108"/>
      <c r="BH37" s="108">
        <f>SUM(BH30:BH36)</f>
        <v>0</v>
      </c>
      <c r="BI37" s="110"/>
      <c r="BJ37" s="110"/>
      <c r="BK37" s="108">
        <f>SUM(BK30:BK36)</f>
        <v>1349.05</v>
      </c>
      <c r="BL37" s="108"/>
      <c r="BM37" s="108">
        <f>SUM(BM30:BM36)</f>
        <v>1381.2</v>
      </c>
      <c r="BN37" s="108"/>
      <c r="BO37" s="108">
        <f>SUM(BO30:BO36)</f>
        <v>0</v>
      </c>
      <c r="BP37" s="108"/>
      <c r="BQ37" s="108"/>
      <c r="BR37" s="108">
        <f>SUM(BR30:BR36)</f>
        <v>2730.25</v>
      </c>
      <c r="BS37" s="108">
        <f>SUM(BS30:BS36)</f>
        <v>23777.649999999998</v>
      </c>
      <c r="BT37" s="108"/>
      <c r="BU37" s="108">
        <f t="shared" ref="BU37:CE37" si="27">SUM(BU30:BU36)</f>
        <v>42799.770000000004</v>
      </c>
      <c r="BV37" s="108">
        <f t="shared" si="27"/>
        <v>66577.42</v>
      </c>
      <c r="BW37" s="108">
        <f>BV37*BW11</f>
        <v>3661.7581</v>
      </c>
      <c r="BX37" s="108">
        <f t="shared" si="27"/>
        <v>34910.821899999995</v>
      </c>
      <c r="BY37" s="108">
        <f t="shared" si="27"/>
        <v>105150</v>
      </c>
      <c r="BZ37" s="108">
        <f t="shared" si="27"/>
        <v>34699.5</v>
      </c>
      <c r="CA37" s="108">
        <f t="shared" si="27"/>
        <v>139849.5</v>
      </c>
      <c r="CB37" s="131">
        <f t="shared" si="27"/>
        <v>1678194</v>
      </c>
      <c r="CC37" s="132">
        <f t="shared" si="27"/>
        <v>9090.2174999999988</v>
      </c>
      <c r="CD37" s="132">
        <f t="shared" si="27"/>
        <v>12659.875987500001</v>
      </c>
      <c r="CE37" s="133">
        <f t="shared" si="27"/>
        <v>1765194.3739500002</v>
      </c>
    </row>
    <row r="38" spans="1:84" s="137" customFormat="1" ht="12" thickBot="1">
      <c r="A38" s="106" t="s">
        <v>111</v>
      </c>
      <c r="B38" s="107"/>
      <c r="C38" s="108">
        <f>SUM(C14,C17,C19,C22,C25,C28,C37)</f>
        <v>14.3</v>
      </c>
      <c r="D38" s="108"/>
      <c r="E38" s="108"/>
      <c r="F38" s="108">
        <f t="shared" ref="F38:BR38" si="28">SUM(F14,F17,F19,F22,F25,F28,F37)</f>
        <v>52230.824193548389</v>
      </c>
      <c r="G38" s="108">
        <f t="shared" si="28"/>
        <v>0</v>
      </c>
      <c r="H38" s="108">
        <f t="shared" si="28"/>
        <v>1.03</v>
      </c>
      <c r="I38" s="108">
        <f t="shared" si="28"/>
        <v>3260.9249999999997</v>
      </c>
      <c r="J38" s="108"/>
      <c r="K38" s="109">
        <f t="shared" si="28"/>
        <v>0</v>
      </c>
      <c r="L38" s="109">
        <f t="shared" si="28"/>
        <v>0.65</v>
      </c>
      <c r="M38" s="109">
        <f t="shared" si="28"/>
        <v>0.2</v>
      </c>
      <c r="N38" s="108">
        <f t="shared" si="28"/>
        <v>3345.5</v>
      </c>
      <c r="O38" s="108">
        <f t="shared" si="28"/>
        <v>0</v>
      </c>
      <c r="P38" s="108">
        <f t="shared" si="28"/>
        <v>0</v>
      </c>
      <c r="Q38" s="108">
        <f t="shared" si="28"/>
        <v>0.1</v>
      </c>
      <c r="R38" s="108">
        <f t="shared" si="28"/>
        <v>1197.6774193548388</v>
      </c>
      <c r="S38" s="108">
        <f t="shared" si="28"/>
        <v>0.75</v>
      </c>
      <c r="T38" s="108">
        <f t="shared" si="28"/>
        <v>6038.1075000000001</v>
      </c>
      <c r="U38" s="108">
        <f t="shared" si="28"/>
        <v>0.25</v>
      </c>
      <c r="V38" s="108">
        <f t="shared" si="28"/>
        <v>2012.7025000000001</v>
      </c>
      <c r="W38" s="109">
        <f t="shared" si="28"/>
        <v>0.5</v>
      </c>
      <c r="X38" s="108">
        <f t="shared" si="28"/>
        <v>751.25</v>
      </c>
      <c r="Y38" s="108">
        <f t="shared" si="28"/>
        <v>0</v>
      </c>
      <c r="Z38" s="108">
        <f t="shared" si="28"/>
        <v>0</v>
      </c>
      <c r="AA38" s="108">
        <f t="shared" si="28"/>
        <v>0</v>
      </c>
      <c r="AB38" s="108">
        <f t="shared" si="28"/>
        <v>0.6</v>
      </c>
      <c r="AC38" s="108">
        <f t="shared" si="28"/>
        <v>0</v>
      </c>
      <c r="AD38" s="108">
        <f t="shared" si="28"/>
        <v>2697.0150000000003</v>
      </c>
      <c r="AE38" s="108">
        <f t="shared" si="28"/>
        <v>0</v>
      </c>
      <c r="AF38" s="108">
        <f t="shared" si="28"/>
        <v>0</v>
      </c>
      <c r="AG38" s="109">
        <f t="shared" si="28"/>
        <v>0.6</v>
      </c>
      <c r="AH38" s="108">
        <f t="shared" si="28"/>
        <v>901.5</v>
      </c>
      <c r="AI38" s="108">
        <f t="shared" si="28"/>
        <v>0</v>
      </c>
      <c r="AJ38" s="108">
        <f t="shared" si="28"/>
        <v>0</v>
      </c>
      <c r="AK38" s="108">
        <f t="shared" si="28"/>
        <v>1.05</v>
      </c>
      <c r="AL38" s="108">
        <f t="shared" si="28"/>
        <v>2455.2000000000003</v>
      </c>
      <c r="AM38" s="108">
        <f t="shared" si="28"/>
        <v>0</v>
      </c>
      <c r="AN38" s="108">
        <f t="shared" si="28"/>
        <v>0</v>
      </c>
      <c r="AO38" s="108">
        <f t="shared" si="28"/>
        <v>0</v>
      </c>
      <c r="AP38" s="108">
        <f t="shared" si="28"/>
        <v>2.4500000000000002</v>
      </c>
      <c r="AQ38" s="108">
        <f t="shared" si="28"/>
        <v>13373.125</v>
      </c>
      <c r="AR38" s="108">
        <f t="shared" si="28"/>
        <v>9.5800000000000018</v>
      </c>
      <c r="AS38" s="108">
        <f t="shared" si="28"/>
        <v>36033.002419354838</v>
      </c>
      <c r="AT38" s="108">
        <f t="shared" si="28"/>
        <v>0.5</v>
      </c>
      <c r="AU38" s="108">
        <f t="shared" si="28"/>
        <v>4680</v>
      </c>
      <c r="AV38" s="108">
        <f t="shared" si="28"/>
        <v>0</v>
      </c>
      <c r="AW38" s="108">
        <f t="shared" si="28"/>
        <v>0</v>
      </c>
      <c r="AX38" s="108">
        <f t="shared" si="28"/>
        <v>0</v>
      </c>
      <c r="AY38" s="108">
        <f t="shared" si="28"/>
        <v>0</v>
      </c>
      <c r="AZ38" s="108">
        <f t="shared" si="28"/>
        <v>0</v>
      </c>
      <c r="BA38" s="108">
        <f t="shared" si="28"/>
        <v>0</v>
      </c>
      <c r="BB38" s="108">
        <f t="shared" si="28"/>
        <v>0</v>
      </c>
      <c r="BC38" s="108">
        <f t="shared" si="28"/>
        <v>0.3</v>
      </c>
      <c r="BD38" s="108">
        <f t="shared" si="28"/>
        <v>0</v>
      </c>
      <c r="BE38" s="108">
        <f t="shared" si="28"/>
        <v>0</v>
      </c>
      <c r="BF38" s="108">
        <f t="shared" si="28"/>
        <v>0</v>
      </c>
      <c r="BG38" s="108">
        <f t="shared" si="28"/>
        <v>0</v>
      </c>
      <c r="BH38" s="108">
        <f t="shared" si="28"/>
        <v>2255.7150000000001</v>
      </c>
      <c r="BI38" s="108">
        <f t="shared" si="28"/>
        <v>0</v>
      </c>
      <c r="BJ38" s="108">
        <f t="shared" si="28"/>
        <v>0.2</v>
      </c>
      <c r="BK38" s="108">
        <f t="shared" si="28"/>
        <v>2248.0550000000003</v>
      </c>
      <c r="BL38" s="108">
        <f t="shared" si="28"/>
        <v>0</v>
      </c>
      <c r="BM38" s="108">
        <f t="shared" si="28"/>
        <v>1381.2</v>
      </c>
      <c r="BN38" s="108">
        <f t="shared" si="28"/>
        <v>0</v>
      </c>
      <c r="BO38" s="108">
        <f t="shared" si="28"/>
        <v>0</v>
      </c>
      <c r="BP38" s="108">
        <f t="shared" si="28"/>
        <v>0</v>
      </c>
      <c r="BQ38" s="108">
        <f t="shared" si="28"/>
        <v>0</v>
      </c>
      <c r="BR38" s="108">
        <f t="shared" si="28"/>
        <v>5884.97</v>
      </c>
      <c r="BS38" s="108">
        <f t="shared" ref="BS38:CB38" si="29">SUM(BS14,BS17,BS19,BS22,BS25,BS28,BS37)</f>
        <v>97928.796612903228</v>
      </c>
      <c r="BT38" s="108">
        <f t="shared" si="29"/>
        <v>10.8</v>
      </c>
      <c r="BU38" s="108">
        <f t="shared" si="29"/>
        <v>176271.83390322584</v>
      </c>
      <c r="BV38" s="108">
        <f t="shared" si="29"/>
        <v>275100.63051612902</v>
      </c>
      <c r="BW38" s="108">
        <f>BW22+BW25+BW28+BW37</f>
        <v>7103.5495300000002</v>
      </c>
      <c r="BX38" s="108">
        <f t="shared" si="29"/>
        <v>36370.287499999999</v>
      </c>
      <c r="BY38" s="108">
        <f t="shared" si="29"/>
        <v>105150</v>
      </c>
      <c r="BZ38" s="108">
        <f t="shared" si="29"/>
        <v>92369.224209900014</v>
      </c>
      <c r="CA38" s="108">
        <f t="shared" si="29"/>
        <v>408242.50875602907</v>
      </c>
      <c r="CB38" s="111">
        <f t="shared" si="29"/>
        <v>4898910.1050723493</v>
      </c>
      <c r="CC38" s="134">
        <f>SUM(CC14,CC17,CC19,CC22,CC25,CC28,CC37)</f>
        <v>26535.763069141889</v>
      </c>
      <c r="CD38" s="134">
        <f>SUM(CD14,CD17,CD19,CD22,CD25,CD28,CD37)</f>
        <v>47833.252714263544</v>
      </c>
      <c r="CE38" s="135">
        <f>SUM(CE14,CE17,CE19,CE22,CE25,CE28,CE37)</f>
        <v>5196386.16820597</v>
      </c>
      <c r="CF38" s="136">
        <v>3625252.7</v>
      </c>
    </row>
    <row r="39" spans="1:84" s="141" customFormat="1">
      <c r="A39" s="138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>
        <f>F38+AS38+BR38</f>
        <v>94148.796612903228</v>
      </c>
      <c r="BT39" s="139"/>
      <c r="BU39" s="140"/>
      <c r="BV39" s="140"/>
      <c r="BW39" s="140"/>
      <c r="BX39" s="140"/>
      <c r="BY39" s="140"/>
      <c r="BZ39" s="140"/>
      <c r="CA39" s="140"/>
      <c r="CB39" s="140"/>
      <c r="CC39" s="139"/>
      <c r="CD39" s="139"/>
      <c r="CE39" s="139"/>
    </row>
    <row r="40" spans="1:84" s="141" customFormat="1">
      <c r="A40" s="138"/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42"/>
      <c r="BV40" s="142"/>
      <c r="BW40" s="142"/>
      <c r="BX40" s="142"/>
      <c r="BY40" s="142"/>
      <c r="BZ40" s="143"/>
      <c r="CA40" s="140"/>
      <c r="CB40" s="140"/>
      <c r="CC40" s="139"/>
      <c r="CD40" s="139"/>
      <c r="CE40" s="139"/>
    </row>
    <row r="41" spans="1:84" s="141" customFormat="1">
      <c r="A41" s="144"/>
      <c r="BU41" s="145"/>
      <c r="BV41" s="145"/>
      <c r="BW41" s="145"/>
      <c r="BX41" s="145"/>
      <c r="BY41" s="145"/>
      <c r="BZ41" s="145"/>
      <c r="CA41" s="145"/>
      <c r="CB41" s="145"/>
    </row>
    <row r="42" spans="1:84">
      <c r="B42" s="146"/>
      <c r="D42" s="147"/>
      <c r="F42" s="148"/>
      <c r="G42" s="148"/>
      <c r="BR42" s="105"/>
      <c r="BS42" s="149" t="s">
        <v>112</v>
      </c>
      <c r="BT42" s="150">
        <f>CB25+CB28+CB37+BW38</f>
        <v>2052836.1655299999</v>
      </c>
      <c r="BV42" s="151" t="s">
        <v>113</v>
      </c>
      <c r="BW42" s="151"/>
      <c r="BX42" s="152">
        <f>CB38</f>
        <v>4898910.1050723493</v>
      </c>
      <c r="BY42" s="152"/>
      <c r="BZ42" s="137" t="s">
        <v>114</v>
      </c>
      <c r="CA42" s="153" t="s">
        <v>115</v>
      </c>
      <c r="CB42" s="154">
        <f>CB14+CB17+CB19+CB22</f>
        <v>2853177.4890723489</v>
      </c>
    </row>
    <row r="43" spans="1:84">
      <c r="BS43" s="149"/>
      <c r="BT43" s="150">
        <f>BT42*0.302</f>
        <v>619956.52199005999</v>
      </c>
      <c r="BV43" s="151" t="s">
        <v>116</v>
      </c>
      <c r="BW43" s="151"/>
      <c r="BX43" s="155">
        <f>BX42*0.302</f>
        <v>1479470.8517318494</v>
      </c>
      <c r="BY43" s="155"/>
      <c r="BZ43" s="137" t="s">
        <v>114</v>
      </c>
      <c r="CA43" s="149"/>
      <c r="CB43" s="154">
        <f>CB42*0.302</f>
        <v>861659.60169984936</v>
      </c>
    </row>
    <row r="44" spans="1:84">
      <c r="B44" s="1" t="s">
        <v>117</v>
      </c>
      <c r="BS44" s="149"/>
      <c r="BT44" s="150">
        <f>BT42+BT43</f>
        <v>2672792.6875200598</v>
      </c>
      <c r="BV44" s="151" t="s">
        <v>118</v>
      </c>
      <c r="BW44" s="151"/>
      <c r="BX44" s="155">
        <f>BX42+BX43</f>
        <v>6378380.9568041991</v>
      </c>
      <c r="BY44" s="155"/>
      <c r="BZ44" s="137" t="s">
        <v>114</v>
      </c>
      <c r="CA44" s="149"/>
      <c r="CB44" s="154">
        <f>CB42+CB43</f>
        <v>3714837.0907721985</v>
      </c>
    </row>
    <row r="45" spans="1:84">
      <c r="B45" s="1" t="s">
        <v>119</v>
      </c>
      <c r="CA45" s="156" t="s">
        <v>120</v>
      </c>
      <c r="CB45" s="157">
        <f>CB44*2%</f>
        <v>74296.741815443966</v>
      </c>
    </row>
    <row r="49" spans="79:79">
      <c r="CA49" s="158"/>
    </row>
    <row r="51" spans="79:79">
      <c r="CA51" s="158"/>
    </row>
  </sheetData>
  <mergeCells count="60">
    <mergeCell ref="A20:B20"/>
    <mergeCell ref="A23:B23"/>
    <mergeCell ref="A26:B26"/>
    <mergeCell ref="A29:B29"/>
    <mergeCell ref="BN10:BO10"/>
    <mergeCell ref="O10:R10"/>
    <mergeCell ref="S10:T10"/>
    <mergeCell ref="U10:V10"/>
    <mergeCell ref="W10:X10"/>
    <mergeCell ref="Y10:AD10"/>
    <mergeCell ref="AT9:AU10"/>
    <mergeCell ref="AV9:BR9"/>
    <mergeCell ref="A15:B15"/>
    <mergeCell ref="CF15:CF19"/>
    <mergeCell ref="AE10:AH10"/>
    <mergeCell ref="AI10:AL10"/>
    <mergeCell ref="AM10:AO10"/>
    <mergeCell ref="AP10:AQ10"/>
    <mergeCell ref="AR10:AR11"/>
    <mergeCell ref="AS10:AS11"/>
    <mergeCell ref="CA9:CA11"/>
    <mergeCell ref="CB9:CB11"/>
    <mergeCell ref="CC9:CE9"/>
    <mergeCell ref="G10:I10"/>
    <mergeCell ref="J10:N10"/>
    <mergeCell ref="BI10:BK10"/>
    <mergeCell ref="BL10:BM10"/>
    <mergeCell ref="BP10:BQ10"/>
    <mergeCell ref="BR10:BR11"/>
    <mergeCell ref="BZ10:BZ11"/>
    <mergeCell ref="BV8:BX8"/>
    <mergeCell ref="CC8:CD8"/>
    <mergeCell ref="A9:A11"/>
    <mergeCell ref="B9:B11"/>
    <mergeCell ref="C9:C11"/>
    <mergeCell ref="D9:D11"/>
    <mergeCell ref="E9:E11"/>
    <mergeCell ref="F9:F11"/>
    <mergeCell ref="G9:X9"/>
    <mergeCell ref="Y9:AS9"/>
    <mergeCell ref="BS9:BS11"/>
    <mergeCell ref="BT9:BU10"/>
    <mergeCell ref="BV9:BV11"/>
    <mergeCell ref="BX9:BX10"/>
    <mergeCell ref="AV10:BB10"/>
    <mergeCell ref="BC10:BH10"/>
    <mergeCell ref="A3:B3"/>
    <mergeCell ref="C3:T3"/>
    <mergeCell ref="U3:X3"/>
    <mergeCell ref="AI3:AP3"/>
    <mergeCell ref="C4:T4"/>
    <mergeCell ref="AI4:AP4"/>
    <mergeCell ref="A1:B1"/>
    <mergeCell ref="C1:T1"/>
    <mergeCell ref="U1:X1"/>
    <mergeCell ref="AI1:AP1"/>
    <mergeCell ref="A2:B2"/>
    <mergeCell ref="C2:T2"/>
    <mergeCell ref="U2:X2"/>
    <mergeCell ref="AI2:AP2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2017-01-24T10:57:44Z</dcterms:modified>
</cp:coreProperties>
</file>